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5.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5" Type="http://schemas.microsoft.com/office/2020/02/relationships/classificationlabels" Target="docMetadata/LabelInfo.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31"/>
  <workbookPr defaultThemeVersion="166925"/>
  <mc:AlternateContent xmlns:mc="http://schemas.openxmlformats.org/markup-compatibility/2006">
    <mc:Choice Requires="x15">
      <x15ac:absPath xmlns:x15ac="http://schemas.microsoft.com/office/spreadsheetml/2010/11/ac" url="https://nasa.sharepoint.com/teams/SORCTeamWFIRST/Shared Documents/General/ADM Logs/"/>
    </mc:Choice>
  </mc:AlternateContent>
  <xr:revisionPtr revIDLastSave="0" documentId="8_{B30581E1-E2F1-48A7-B50B-5902642B87D8}" xr6:coauthVersionLast="47" xr6:coauthVersionMax="47" xr10:uidLastSave="{00000000-0000-0000-0000-000000000000}"/>
  <bookViews>
    <workbookView xWindow="28680" yWindow="-120" windowWidth="29040" windowHeight="15840" xr2:uid="{00000000-000D-0000-FFFF-FFFF00000000}"/>
  </bookViews>
  <sheets>
    <sheet name="Position Log - Ball" sheetId="14" r:id="rId1"/>
    <sheet name="Rm Null" sheetId="8" r:id="rId2"/>
    <sheet name="RxRy Tuner" sheetId="9" r:id="rId3"/>
    <sheet name="X Y Tuner" sheetId="10" r:id="rId4"/>
    <sheet name="Position Log - GSFC" sheetId="1" r:id="rId5"/>
    <sheet name="Scratch - Extracted Data" sheetId="4" r:id="rId6"/>
    <sheet name="Scratch - RM worksheet" sheetId="7" r:id="rId7"/>
    <sheet name="Scratch - notes" sheetId="2" r:id="rId8"/>
    <sheet name="PMscr" sheetId="15" r:id="rId9"/>
    <sheet name="ADM keybinds" sheetId="12" r:id="rId10"/>
  </sheets>
  <definedNames>
    <definedName name="_xlnm._FilterDatabase" localSheetId="0" hidden="1">'Position Log - Ball'!$A$1:$Z$1</definedName>
    <definedName name="_xlnm._FilterDatabase" localSheetId="4" hidden="1">'Position Log - GSFC'!$A$672:$Z$688</definedName>
    <definedName name="DeltaInputs">#REF!</definedName>
    <definedName name="DeltaOutputs">#REF!</definedName>
    <definedName name="InverseMatrix">#REF!</definedName>
    <definedName name="inverseMatrix2x2">#REF!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T363" i="14" l="1"/>
  <c r="V363" i="14"/>
  <c r="Y364" i="14"/>
  <c r="X364" i="14"/>
  <c r="W363" i="14"/>
  <c r="Y328" i="14"/>
  <c r="X328" i="14"/>
  <c r="T327" i="14"/>
  <c r="V327" i="14"/>
  <c r="W327" i="14"/>
  <c r="S327" i="14"/>
  <c r="Y350" i="14"/>
  <c r="X350" i="14"/>
  <c r="W349" i="14"/>
  <c r="V349" i="14"/>
  <c r="T349" i="14"/>
  <c r="S349" i="14"/>
  <c r="B9" i="10"/>
  <c r="C9" i="10"/>
  <c r="B10" i="10"/>
  <c r="C10" i="10"/>
  <c r="B11" i="10"/>
  <c r="C11" i="10"/>
  <c r="B12" i="10"/>
  <c r="C12" i="10"/>
  <c r="B4" i="10"/>
  <c r="C4" i="10"/>
  <c r="B5" i="10"/>
  <c r="C5" i="10"/>
  <c r="B6" i="10"/>
  <c r="C6" i="10"/>
  <c r="B7" i="10"/>
  <c r="C7" i="10"/>
  <c r="W309" i="14"/>
  <c r="V309" i="14"/>
  <c r="Y310" i="14"/>
  <c r="X310" i="14"/>
  <c r="R315" i="14"/>
  <c r="B313" i="14"/>
  <c r="B314" i="14"/>
  <c r="E17" i="15"/>
  <c r="D17" i="15"/>
  <c r="E10" i="15"/>
  <c r="D10" i="15"/>
  <c r="C10" i="15"/>
  <c r="B10" i="15"/>
  <c r="G17" i="15"/>
  <c r="F17" i="15"/>
  <c r="G10" i="15"/>
  <c r="F10" i="15"/>
  <c r="X297" i="14"/>
  <c r="B296" i="14"/>
  <c r="B297" i="14"/>
  <c r="B298" i="14"/>
  <c r="Y297" i="14"/>
  <c r="Y295" i="14"/>
  <c r="X295" i="14"/>
  <c r="Y293" i="14"/>
  <c r="X293" i="14"/>
  <c r="Y291" i="14"/>
  <c r="X291" i="14"/>
  <c r="Y289" i="14"/>
  <c r="X289" i="14"/>
  <c r="C4" i="15"/>
  <c r="R289" i="14"/>
  <c r="B302" i="14"/>
  <c r="B303" i="14"/>
  <c r="B305" i="14"/>
  <c r="B306" i="14"/>
  <c r="B308" i="14"/>
  <c r="B309" i="14"/>
  <c r="B323" i="14"/>
  <c r="B324" i="14"/>
  <c r="R322" i="14"/>
  <c r="R290" i="14"/>
  <c r="R291" i="14"/>
  <c r="R292" i="14"/>
  <c r="R293" i="14"/>
  <c r="R294" i="14"/>
  <c r="R295" i="14"/>
  <c r="R296" i="14"/>
  <c r="R297" i="14"/>
  <c r="R298" i="14"/>
  <c r="R299" i="14"/>
  <c r="R300" i="14"/>
  <c r="R301" i="14"/>
  <c r="R302" i="14"/>
  <c r="R304" i="14"/>
  <c r="R305" i="14"/>
  <c r="R307" i="14"/>
  <c r="R308" i="14"/>
  <c r="R309" i="14"/>
  <c r="R310" i="14"/>
  <c r="R311" i="14"/>
  <c r="B289" i="14"/>
  <c r="B290" i="14"/>
  <c r="B291" i="14"/>
  <c r="B292" i="14"/>
  <c r="B293" i="14"/>
  <c r="B294" i="14"/>
  <c r="B295" i="14"/>
  <c r="B299" i="14"/>
  <c r="L5" i="15"/>
  <c r="M5" i="15"/>
  <c r="I4" i="15"/>
  <c r="H4" i="15"/>
  <c r="G4" i="15"/>
  <c r="D4" i="15"/>
  <c r="E4" i="15"/>
  <c r="F4" i="15"/>
  <c r="B4" i="15"/>
  <c r="G36" i="15"/>
  <c r="I100" i="8"/>
  <c r="H100" i="8"/>
  <c r="F100" i="8"/>
  <c r="E100" i="8"/>
  <c r="D100" i="8"/>
  <c r="G100" i="8"/>
  <c r="R287" i="14"/>
  <c r="R288" i="14"/>
  <c r="B286" i="14"/>
  <c r="B287" i="14"/>
  <c r="B288" i="14"/>
  <c r="R286" i="14"/>
  <c r="B285" i="14"/>
  <c r="R285" i="14"/>
  <c r="Y283" i="14"/>
  <c r="X283" i="14"/>
  <c r="R284" i="14"/>
  <c r="R283" i="14"/>
  <c r="C2" i="9"/>
  <c r="B279" i="14"/>
  <c r="B280" i="14"/>
  <c r="B281" i="14"/>
  <c r="Y281" i="14"/>
  <c r="X281" i="14"/>
  <c r="R279" i="14"/>
  <c r="R280" i="14"/>
  <c r="Y274" i="14"/>
  <c r="X274" i="14"/>
  <c r="B282" i="14"/>
  <c r="B283" i="14"/>
  <c r="B284" i="14"/>
  <c r="B277" i="14"/>
  <c r="B278" i="14"/>
  <c r="R277" i="14"/>
  <c r="R278" i="14"/>
  <c r="R274" i="14"/>
  <c r="R275" i="14"/>
  <c r="R276" i="14"/>
  <c r="B276" i="14"/>
  <c r="B274" i="14"/>
  <c r="B275" i="14"/>
  <c r="R269" i="14"/>
  <c r="R270" i="14"/>
  <c r="R271" i="14"/>
  <c r="R272" i="14"/>
  <c r="R273" i="14"/>
  <c r="G97" i="8"/>
  <c r="F97" i="8"/>
  <c r="E97" i="8"/>
  <c r="D97" i="8"/>
  <c r="C97" i="8"/>
  <c r="B97" i="8"/>
  <c r="B269" i="14"/>
  <c r="B270" i="14"/>
  <c r="B271" i="14"/>
  <c r="B272" i="14"/>
  <c r="B273" i="14"/>
  <c r="R267" i="14"/>
  <c r="R268" i="14"/>
  <c r="B267" i="14"/>
  <c r="B268" i="14"/>
  <c r="Y265" i="14"/>
  <c r="X265" i="14"/>
  <c r="B263" i="14"/>
  <c r="B264" i="14"/>
  <c r="B265" i="14"/>
  <c r="B266" i="14"/>
  <c r="R262" i="14"/>
  <c r="R263" i="14"/>
  <c r="R265" i="14"/>
  <c r="R266" i="14"/>
  <c r="G2" i="9"/>
  <c r="F2" i="9"/>
  <c r="E2" i="9"/>
  <c r="D2" i="9"/>
  <c r="R256" i="14"/>
  <c r="R257" i="14"/>
  <c r="R258" i="14"/>
  <c r="R259" i="14"/>
  <c r="R260" i="14"/>
  <c r="R261" i="14"/>
  <c r="B255" i="14"/>
  <c r="B256" i="14"/>
  <c r="B257" i="14"/>
  <c r="B258" i="14"/>
  <c r="B259" i="14"/>
  <c r="B260" i="14"/>
  <c r="B261" i="14"/>
  <c r="B262" i="14"/>
  <c r="R252" i="14"/>
  <c r="R253" i="14"/>
  <c r="R254" i="14"/>
  <c r="R255" i="14"/>
  <c r="G93" i="8"/>
  <c r="F93" i="8"/>
  <c r="K93" i="8" s="1"/>
  <c r="B254" i="14"/>
  <c r="B253" i="14"/>
  <c r="C93" i="8"/>
  <c r="D93" i="8"/>
  <c r="E93" i="8"/>
  <c r="B93" i="8"/>
  <c r="R251" i="14"/>
  <c r="S252" i="14"/>
  <c r="Y253" i="14"/>
  <c r="X253" i="14"/>
  <c r="Y251" i="14"/>
  <c r="X251" i="14"/>
  <c r="Y235" i="14"/>
  <c r="G2" i="10"/>
  <c r="F2" i="10"/>
  <c r="E2" i="10"/>
  <c r="D2" i="10"/>
  <c r="W250" i="14"/>
  <c r="V250" i="14"/>
  <c r="Y249" i="14"/>
  <c r="X249" i="14"/>
  <c r="Y247" i="14"/>
  <c r="X247" i="14"/>
  <c r="Y245" i="14"/>
  <c r="X245" i="14"/>
  <c r="X243" i="14"/>
  <c r="Y243" i="14"/>
  <c r="Y241" i="14"/>
  <c r="X241" i="14"/>
  <c r="B243" i="14"/>
  <c r="B244" i="14"/>
  <c r="B245" i="14"/>
  <c r="B246" i="14"/>
  <c r="B247" i="14"/>
  <c r="B248" i="14"/>
  <c r="B249" i="14"/>
  <c r="B250" i="14"/>
  <c r="B251" i="14"/>
  <c r="B252" i="14"/>
  <c r="B238" i="14"/>
  <c r="B239" i="14"/>
  <c r="B240" i="14"/>
  <c r="B241" i="14"/>
  <c r="B242" i="14"/>
  <c r="B90" i="8"/>
  <c r="C90" i="8"/>
  <c r="D90" i="8"/>
  <c r="E90" i="8"/>
  <c r="F90" i="8"/>
  <c r="G90" i="8"/>
  <c r="B237" i="14"/>
  <c r="K87" i="8"/>
  <c r="J87" i="8"/>
  <c r="T236" i="14"/>
  <c r="B235" i="14"/>
  <c r="B236" i="14"/>
  <c r="T234" i="14"/>
  <c r="B233" i="14"/>
  <c r="B234" i="14"/>
  <c r="T232" i="14"/>
  <c r="B228" i="14"/>
  <c r="B229" i="14"/>
  <c r="B230" i="14"/>
  <c r="B231" i="14"/>
  <c r="B232" i="14"/>
  <c r="B225" i="14"/>
  <c r="B226" i="14"/>
  <c r="B227" i="14"/>
  <c r="B224" i="14"/>
  <c r="B221" i="14"/>
  <c r="B222" i="14"/>
  <c r="B223" i="14"/>
  <c r="B219" i="14"/>
  <c r="B220" i="14"/>
  <c r="B217" i="14"/>
  <c r="B218" i="14"/>
  <c r="B215" i="14"/>
  <c r="B216" i="14"/>
  <c r="G87" i="8"/>
  <c r="F87" i="8"/>
  <c r="E87" i="8"/>
  <c r="D87" i="8"/>
  <c r="C87" i="8"/>
  <c r="B87" i="8"/>
  <c r="I85" i="8"/>
  <c r="H85" i="8"/>
  <c r="G85" i="8"/>
  <c r="F85" i="8"/>
  <c r="E85" i="8"/>
  <c r="D85" i="8"/>
  <c r="C85" i="8"/>
  <c r="B85" i="8"/>
  <c r="B79" i="8"/>
  <c r="C79" i="8"/>
  <c r="D79" i="8"/>
  <c r="E79" i="8"/>
  <c r="F79" i="8"/>
  <c r="G79" i="8"/>
  <c r="H79" i="8"/>
  <c r="I79" i="8"/>
  <c r="B214" i="14"/>
  <c r="B204" i="14"/>
  <c r="B205" i="14"/>
  <c r="B206" i="14"/>
  <c r="B207" i="14"/>
  <c r="B208" i="14"/>
  <c r="B209" i="14"/>
  <c r="B210" i="14"/>
  <c r="B211" i="14"/>
  <c r="B212" i="14"/>
  <c r="B213" i="14"/>
  <c r="B202" i="14"/>
  <c r="B203" i="14"/>
  <c r="B201" i="14"/>
  <c r="B199" i="14"/>
  <c r="B198" i="14"/>
  <c r="W195" i="14"/>
  <c r="V195" i="14"/>
  <c r="T195" i="14"/>
  <c r="B194" i="14"/>
  <c r="B195" i="14"/>
  <c r="B196" i="14"/>
  <c r="B197" i="14"/>
  <c r="B192" i="14"/>
  <c r="B193" i="14"/>
  <c r="B188" i="14"/>
  <c r="B189" i="14"/>
  <c r="B190" i="14"/>
  <c r="B191" i="14"/>
  <c r="B185" i="14"/>
  <c r="B186" i="14"/>
  <c r="B187" i="14"/>
  <c r="B180" i="14"/>
  <c r="B181" i="14"/>
  <c r="B182" i="14"/>
  <c r="B183" i="14"/>
  <c r="B184" i="14"/>
  <c r="B171" i="14"/>
  <c r="B172" i="14"/>
  <c r="B173" i="14"/>
  <c r="B174" i="14"/>
  <c r="B175" i="14"/>
  <c r="B176" i="14"/>
  <c r="B177" i="14"/>
  <c r="B178" i="14"/>
  <c r="B179" i="14"/>
  <c r="I69" i="8"/>
  <c r="H69" i="8"/>
  <c r="B163" i="14"/>
  <c r="B164" i="14"/>
  <c r="B165" i="14"/>
  <c r="B166" i="14"/>
  <c r="B167" i="14"/>
  <c r="B168" i="14"/>
  <c r="B169" i="14"/>
  <c r="B170" i="14"/>
  <c r="B162" i="14"/>
  <c r="B74" i="8"/>
  <c r="C74" i="8"/>
  <c r="D74" i="8"/>
  <c r="E74" i="8"/>
  <c r="F74" i="8"/>
  <c r="G74" i="8"/>
  <c r="H74" i="8"/>
  <c r="I74" i="8"/>
  <c r="M3" i="8"/>
  <c r="L3" i="8"/>
  <c r="I72" i="8"/>
  <c r="H72" i="8"/>
  <c r="G72" i="8"/>
  <c r="F72" i="8"/>
  <c r="C72" i="8"/>
  <c r="D72" i="8"/>
  <c r="E72" i="8"/>
  <c r="B72" i="8"/>
  <c r="I70" i="8"/>
  <c r="H70" i="8"/>
  <c r="G70" i="8"/>
  <c r="F70" i="8"/>
  <c r="C70" i="8"/>
  <c r="D70" i="8"/>
  <c r="E70" i="8"/>
  <c r="B70" i="8"/>
  <c r="I67" i="8"/>
  <c r="H67" i="8"/>
  <c r="G67" i="8"/>
  <c r="F67" i="8"/>
  <c r="C67" i="8"/>
  <c r="D67" i="8"/>
  <c r="E67" i="8"/>
  <c r="B67" i="8"/>
  <c r="H65" i="8"/>
  <c r="G65" i="8"/>
  <c r="F65" i="8"/>
  <c r="C65" i="8"/>
  <c r="D65" i="8"/>
  <c r="E65" i="8"/>
  <c r="B65" i="8"/>
  <c r="C63" i="8"/>
  <c r="B63" i="8"/>
  <c r="B154" i="14"/>
  <c r="I65" i="8"/>
  <c r="E63" i="8"/>
  <c r="D63" i="8"/>
  <c r="I63" i="8"/>
  <c r="H63" i="8"/>
  <c r="G63" i="8"/>
  <c r="F63" i="8"/>
  <c r="F156" i="14"/>
  <c r="F158" i="14" s="1"/>
  <c r="F160" i="14" s="1"/>
  <c r="F162" i="14" s="1"/>
  <c r="R157" i="14"/>
  <c r="R159" i="14" s="1"/>
  <c r="R161" i="14" s="1"/>
  <c r="R163" i="14" s="1"/>
  <c r="R156" i="14"/>
  <c r="R158" i="14" s="1"/>
  <c r="R160" i="14" s="1"/>
  <c r="R162" i="14" s="1"/>
  <c r="B156" i="14"/>
  <c r="B157" i="14"/>
  <c r="B158" i="14"/>
  <c r="B159" i="14"/>
  <c r="B160" i="14"/>
  <c r="B161" i="14"/>
  <c r="B155" i="14"/>
  <c r="F157" i="14"/>
  <c r="F159" i="14" s="1"/>
  <c r="F161" i="14" s="1"/>
  <c r="F163" i="14" s="1"/>
  <c r="Y151" i="14"/>
  <c r="X151" i="14"/>
  <c r="Y149" i="14"/>
  <c r="X149" i="14"/>
  <c r="Y145" i="14"/>
  <c r="X145" i="14"/>
  <c r="Y141" i="14"/>
  <c r="X141" i="14"/>
  <c r="Y147" i="14"/>
  <c r="X147" i="14"/>
  <c r="Y143" i="14"/>
  <c r="X143" i="14"/>
  <c r="Y139" i="14"/>
  <c r="X139" i="14"/>
  <c r="Y133" i="14"/>
  <c r="X133" i="14"/>
  <c r="Y137" i="14"/>
  <c r="X137" i="14"/>
  <c r="B145" i="14"/>
  <c r="B146" i="14"/>
  <c r="B147" i="14"/>
  <c r="B148" i="14"/>
  <c r="B149" i="14"/>
  <c r="B150" i="14"/>
  <c r="F146" i="14"/>
  <c r="F150" i="14" s="1"/>
  <c r="F147" i="14"/>
  <c r="F148" i="14"/>
  <c r="F145" i="14"/>
  <c r="F149" i="14" s="1"/>
  <c r="B136" i="14"/>
  <c r="B137" i="14"/>
  <c r="B138" i="14"/>
  <c r="B139" i="14"/>
  <c r="B140" i="14"/>
  <c r="B141" i="14"/>
  <c r="B142" i="14"/>
  <c r="B143" i="14"/>
  <c r="B144" i="14"/>
  <c r="B135" i="14"/>
  <c r="W142" i="14"/>
  <c r="V142" i="14"/>
  <c r="W140" i="14"/>
  <c r="V140" i="14"/>
  <c r="W138" i="14"/>
  <c r="V138" i="14"/>
  <c r="T136" i="14"/>
  <c r="W136" i="14"/>
  <c r="V136" i="14"/>
  <c r="T132" i="14"/>
  <c r="B132" i="14"/>
  <c r="B131" i="14"/>
  <c r="W132" i="14"/>
  <c r="V132" i="14"/>
  <c r="B129" i="14"/>
  <c r="B128" i="14"/>
  <c r="B125" i="14"/>
  <c r="E5" i="15" l="1"/>
  <c r="B91" i="8"/>
  <c r="H17" i="15"/>
  <c r="B98" i="8"/>
  <c r="B99" i="8" s="1"/>
  <c r="B100" i="8" s="1"/>
  <c r="B102" i="8" s="1"/>
  <c r="B104" i="8" s="1"/>
  <c r="B106" i="8" s="1"/>
  <c r="B107" i="8" s="1"/>
  <c r="B108" i="8" s="1"/>
  <c r="B109" i="8" s="1"/>
  <c r="B110" i="8" s="1"/>
  <c r="B111" i="8" s="1"/>
  <c r="C91" i="8"/>
  <c r="B6" i="15"/>
  <c r="D5" i="15"/>
  <c r="E102" i="8"/>
  <c r="E104" i="8" s="1"/>
  <c r="E105" i="8" s="1"/>
  <c r="E106" i="8" s="1"/>
  <c r="E107" i="8" s="1"/>
  <c r="E108" i="8" s="1"/>
  <c r="C5" i="15"/>
  <c r="B5" i="15"/>
  <c r="D102" i="8"/>
  <c r="D104" i="8" s="1"/>
  <c r="D106" i="8" s="1"/>
  <c r="D107" i="8" s="1"/>
  <c r="D108" i="8" s="1"/>
  <c r="C6" i="15"/>
  <c r="D37" i="15"/>
  <c r="C40" i="15"/>
  <c r="C41" i="15" s="1"/>
  <c r="D38" i="15"/>
  <c r="D39" i="15" s="1"/>
  <c r="D40" i="15" s="1"/>
  <c r="B2" i="9"/>
  <c r="E98" i="8"/>
  <c r="D98" i="8"/>
  <c r="C98" i="8"/>
  <c r="C99" i="8" s="1"/>
  <c r="C100" i="8" s="1"/>
  <c r="C102" i="8" s="1"/>
  <c r="C104" i="8" s="1"/>
  <c r="C106" i="8" s="1"/>
  <c r="C107" i="8" s="1"/>
  <c r="C108" i="8" s="1"/>
  <c r="C109" i="8" s="1"/>
  <c r="C110" i="8" s="1"/>
  <c r="C111" i="8" s="1"/>
  <c r="E91" i="8"/>
  <c r="D94" i="8"/>
  <c r="C88" i="8"/>
  <c r="E94" i="8"/>
  <c r="L93" i="8"/>
  <c r="C94" i="8"/>
  <c r="B94" i="8"/>
  <c r="B88" i="8"/>
  <c r="D91" i="8"/>
  <c r="I17" i="15"/>
  <c r="C18" i="15"/>
  <c r="I10" i="15"/>
  <c r="H10" i="15"/>
  <c r="B18" i="15"/>
  <c r="B11" i="15"/>
  <c r="C11" i="15"/>
  <c r="E88" i="8"/>
  <c r="D88" i="8"/>
  <c r="D80" i="8"/>
  <c r="E80" i="8"/>
  <c r="E86" i="8"/>
  <c r="D86" i="8"/>
  <c r="D71" i="8"/>
  <c r="D68" i="8"/>
  <c r="E66" i="8"/>
  <c r="D66" i="8"/>
  <c r="D73" i="8"/>
  <c r="E75" i="8"/>
  <c r="D75" i="8"/>
  <c r="D64" i="8"/>
  <c r="E68" i="8"/>
  <c r="E73" i="8"/>
  <c r="E71" i="8"/>
  <c r="E64" i="8"/>
  <c r="F164" i="14"/>
  <c r="B126" i="14"/>
  <c r="B124" i="14"/>
  <c r="B123" i="14"/>
  <c r="B122" i="14"/>
  <c r="X121" i="14"/>
  <c r="Y121" i="14"/>
  <c r="W120" i="14"/>
  <c r="V120" i="14"/>
  <c r="B117" i="14"/>
  <c r="B115" i="14"/>
  <c r="B112" i="14"/>
  <c r="B114" i="14"/>
  <c r="B116" i="14"/>
  <c r="B110" i="14"/>
  <c r="B119" i="14"/>
  <c r="B105" i="14"/>
  <c r="B106" i="14"/>
  <c r="B109" i="14"/>
  <c r="B103" i="14"/>
  <c r="B104" i="14"/>
  <c r="B95" i="14"/>
  <c r="B96" i="14"/>
  <c r="B97" i="14"/>
  <c r="B98" i="14"/>
  <c r="B99" i="14"/>
  <c r="B100" i="14"/>
  <c r="B101" i="14"/>
  <c r="B102" i="14"/>
  <c r="B94" i="14"/>
  <c r="C60" i="8"/>
  <c r="B60" i="8"/>
  <c r="I60" i="8"/>
  <c r="H60" i="8"/>
  <c r="G60" i="8"/>
  <c r="F60" i="8"/>
  <c r="I58" i="8"/>
  <c r="H58" i="8"/>
  <c r="G58" i="8"/>
  <c r="F58" i="8"/>
  <c r="I56" i="8"/>
  <c r="H56" i="8"/>
  <c r="G56" i="8"/>
  <c r="F56" i="8"/>
  <c r="I54" i="8"/>
  <c r="H54" i="8"/>
  <c r="G54" i="8"/>
  <c r="D55" i="8" s="1"/>
  <c r="D56" i="8" s="1"/>
  <c r="F54" i="8"/>
  <c r="E55" i="8" s="1"/>
  <c r="E56" i="8" s="1"/>
  <c r="K78" i="14"/>
  <c r="E52" i="8"/>
  <c r="D52" i="8"/>
  <c r="E50" i="8"/>
  <c r="D50" i="8"/>
  <c r="B3" i="10" l="1"/>
  <c r="C3" i="10"/>
  <c r="E57" i="8"/>
  <c r="E58" i="8" s="1"/>
  <c r="E59" i="8" s="1"/>
  <c r="E60" i="8" s="1"/>
  <c r="E61" i="8" s="1"/>
  <c r="D57" i="8"/>
  <c r="D58" i="8" s="1"/>
  <c r="D59" i="8" s="1"/>
  <c r="D60" i="8" s="1"/>
  <c r="D61" i="8" s="1"/>
  <c r="D48" i="8"/>
  <c r="E48" i="8"/>
  <c r="D46" i="8"/>
  <c r="E46" i="8"/>
  <c r="M43" i="8"/>
  <c r="M44" i="8" s="1"/>
  <c r="L43" i="8"/>
  <c r="L44" i="8" s="1"/>
  <c r="M40" i="8"/>
  <c r="L40" i="8"/>
  <c r="E42" i="8"/>
  <c r="E43" i="8" s="1"/>
  <c r="E44" i="8" s="1"/>
  <c r="D42" i="8"/>
  <c r="D43" i="8" s="1"/>
  <c r="D44" i="8" s="1"/>
  <c r="D729" i="1"/>
  <c r="D721" i="1"/>
  <c r="E721" i="1"/>
  <c r="F721" i="1"/>
  <c r="G721" i="1"/>
  <c r="I707" i="1" l="1"/>
  <c r="H707" i="1"/>
  <c r="E707" i="1"/>
  <c r="F707" i="1"/>
  <c r="G707" i="1"/>
  <c r="D707" i="1"/>
  <c r="E34" i="8"/>
  <c r="E35" i="8" s="1"/>
  <c r="E36" i="8" s="1"/>
  <c r="E37" i="8" s="1"/>
  <c r="D34" i="8"/>
  <c r="D35" i="8" s="1"/>
  <c r="D36" i="8" s="1"/>
  <c r="D37" i="8" s="1"/>
  <c r="M29" i="8" l="1"/>
  <c r="L29" i="8"/>
  <c r="E30" i="8"/>
  <c r="E31" i="8" s="1"/>
  <c r="E32" i="8" s="1"/>
  <c r="D30" i="8" l="1"/>
  <c r="D31" i="8" s="1"/>
  <c r="D32" i="8" s="1"/>
  <c r="D27" i="8" l="1"/>
  <c r="E27" i="8"/>
  <c r="AA631" i="1"/>
  <c r="AA632" i="1" s="1"/>
  <c r="Z452" i="1"/>
  <c r="R644" i="1"/>
  <c r="R641" i="1"/>
  <c r="R640" i="1"/>
  <c r="R639" i="1"/>
  <c r="R636" i="1"/>
  <c r="R635" i="1"/>
  <c r="R632" i="1"/>
  <c r="Z323" i="1"/>
  <c r="Z634" i="1" l="1"/>
  <c r="AB581" i="1"/>
  <c r="AA581" i="1"/>
  <c r="D22" i="8"/>
  <c r="E22" i="8"/>
  <c r="D24" i="8"/>
  <c r="E24" i="8"/>
  <c r="D16" i="8"/>
  <c r="D17" i="8" s="1"/>
  <c r="D18" i="8" s="1"/>
  <c r="D19" i="8" s="1"/>
  <c r="E16" i="8"/>
  <c r="E17" i="8" s="1"/>
  <c r="E18" i="8" s="1"/>
  <c r="E19" i="8" s="1"/>
  <c r="Z481" i="1"/>
  <c r="Z479" i="1"/>
  <c r="D8" i="8"/>
  <c r="E8" i="8"/>
  <c r="D10" i="8"/>
  <c r="D11" i="8" s="1"/>
  <c r="E10" i="8"/>
  <c r="E11" i="8" s="1"/>
  <c r="D13" i="8"/>
  <c r="E13" i="8"/>
  <c r="Z474" i="1"/>
  <c r="Z466" i="1"/>
  <c r="D6" i="8"/>
  <c r="E6" i="8"/>
  <c r="E4" i="8"/>
  <c r="D4" i="8"/>
  <c r="C3" i="9"/>
  <c r="B3" i="9"/>
  <c r="Z401" i="1"/>
  <c r="AA376" i="1"/>
  <c r="Z376" i="1"/>
  <c r="Q39" i="7"/>
  <c r="P39" i="7"/>
  <c r="Q38" i="7"/>
  <c r="P38" i="7"/>
  <c r="V36" i="7"/>
  <c r="V35" i="7"/>
  <c r="U36" i="7"/>
  <c r="U35" i="7"/>
  <c r="AF340" i="1"/>
  <c r="AE340" i="1"/>
  <c r="AB340" i="1"/>
  <c r="AC340" i="1" s="1"/>
  <c r="Z328" i="1"/>
  <c r="C23" i="7"/>
  <c r="C24" i="7" s="1"/>
  <c r="O21" i="7"/>
  <c r="N13" i="7"/>
  <c r="J13" i="7"/>
  <c r="K13" i="7"/>
  <c r="G13" i="7"/>
  <c r="F13" i="7"/>
  <c r="F23" i="7" s="1"/>
  <c r="F24" i="7" s="1"/>
  <c r="C13" i="7"/>
  <c r="Z272" i="1"/>
  <c r="Z269" i="1"/>
  <c r="Z277" i="1"/>
  <c r="Z321" i="1"/>
  <c r="Z319" i="1"/>
  <c r="Z312" i="1"/>
  <c r="AE304" i="1"/>
  <c r="AF304" i="1"/>
  <c r="AD304" i="1"/>
  <c r="AC304" i="1"/>
  <c r="AA304" i="1"/>
  <c r="AB304" i="1" s="1"/>
  <c r="Z308" i="1"/>
  <c r="Z305" i="1"/>
  <c r="Z304" i="1"/>
  <c r="AA302" i="1"/>
  <c r="AB302" i="1" s="1"/>
  <c r="U84" i="4"/>
  <c r="X88" i="4" s="1"/>
  <c r="X89" i="4"/>
  <c r="Y88" i="4"/>
  <c r="Y87" i="4"/>
  <c r="X87" i="4"/>
  <c r="U89" i="4"/>
  <c r="V88" i="4"/>
  <c r="U88" i="4"/>
  <c r="V87" i="4"/>
  <c r="U87" i="4"/>
  <c r="AG340" i="1" l="1"/>
  <c r="AA377" i="1"/>
  <c r="AA378" i="1" s="1"/>
  <c r="AA303" i="1"/>
  <c r="Z303" i="1"/>
  <c r="X85" i="4"/>
  <c r="U85" i="4"/>
  <c r="Y84" i="4"/>
  <c r="X84" i="4"/>
  <c r="V84" i="4"/>
  <c r="Y83" i="4"/>
  <c r="X83" i="4"/>
  <c r="V83" i="4"/>
  <c r="U83" i="4"/>
  <c r="X78" i="4"/>
  <c r="X81" i="4"/>
  <c r="AA269" i="1"/>
  <c r="U81" i="4"/>
  <c r="Y80" i="4"/>
  <c r="X80" i="4"/>
  <c r="V80" i="4"/>
  <c r="U80" i="4"/>
  <c r="U78" i="4"/>
  <c r="Y79" i="4"/>
  <c r="X79" i="4"/>
  <c r="V79" i="4"/>
  <c r="U79" i="4"/>
  <c r="Y77" i="4"/>
  <c r="X77" i="4"/>
  <c r="V77" i="4"/>
  <c r="U77" i="4"/>
  <c r="Y76" i="4"/>
  <c r="X76" i="4"/>
  <c r="V76" i="4"/>
  <c r="U76" i="4"/>
  <c r="Z264" i="1"/>
  <c r="Z261" i="1"/>
  <c r="Z257" i="1"/>
  <c r="Z254" i="1"/>
  <c r="Z251" i="1"/>
  <c r="S48" i="4"/>
  <c r="S51" i="4"/>
  <c r="Z229" i="1"/>
  <c r="Z224" i="1"/>
  <c r="Z215" i="1" l="1"/>
  <c r="Z205" i="1" l="1"/>
  <c r="Z199" i="1"/>
  <c r="Z198" i="1"/>
  <c r="Z194" i="1"/>
  <c r="Z19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tc={9402953B-4DDF-498F-AAE0-095856CFBFF0}</author>
    <author>tc={E072A488-1E3F-459C-AD46-19E8440DF4F4}</author>
    <author>tc={5BA7ADAB-89B0-40F6-90AE-0B6694501E62}</author>
    <author>tc={38B08866-5BAF-46B6-A258-797D295CDDFB}</author>
    <author>tc={15DE180F-2664-4EFB-9707-7F997333C953}</author>
  </authors>
  <commentList>
    <comment ref="A1" authorId="0" shapeId="0" xr:uid="{9402953B-4DDF-498F-AAE0-095856CFBFF0}">
      <text>
        <t>[Threaded comment]
Your version of Excel allows you to read this threaded comment; however, any edits to it will get removed if the file is opened in a newer version of Excel. Learn more: https://go.microsoft.com/fwlink/?linkid=870924
Comment:
    Try Ctrl+;</t>
      </text>
    </comment>
    <comment ref="B1" authorId="1" shapeId="0" xr:uid="{E072A488-1E3F-459C-AD46-19E8440DF4F4}">
      <text>
        <t>[Threaded comment]
Your version of Excel allows you to read this threaded comment; however, any edits to it will get removed if the file is opened in a newer version of Excel. Learn more: https://go.microsoft.com/fwlink/?linkid=870924
Comment:
    Try Ctrl+Shift+;</t>
      </text>
    </comment>
    <comment ref="D1" authorId="2" shapeId="0" xr:uid="{5BA7ADAB-89B0-40F6-90AE-0B6694501E62}">
      <text>
        <t>[Threaded comment]
Your version of Excel allows you to read this threaded comment; however, any edits to it will get removed if the file is opened in a newer version of Excel. Learn more: https://go.microsoft.com/fwlink/?linkid=870924
Comment:
    WP1 = Warm Plateau 1
CP2 = Cold Plateau 2, etc</t>
      </text>
    </comment>
    <comment ref="E1" authorId="3" shapeId="0" xr:uid="{38B08866-5BAF-46B6-A258-797D295CDDFB}">
      <text>
        <t>[Threaded comment]
Your version of Excel allows you to read this threaded comment; however, any edits to it will get removed if the file is opened in a newer version of Excel. Learn more: https://go.microsoft.com/fwlink/?linkid=870924
Comment:
    If you have to measure a target multiple times, mark the last/best one with a "Y"</t>
      </text>
    </comment>
    <comment ref="F48" authorId="4" shapeId="0" xr:uid="{15DE180F-2664-4EFB-9707-7F997333C953}">
      <text>
        <t>[Threaded comment]
Your version of Excel allows you to read this threaded comment; however, any edits to it will get removed if the file is opened in a newer version of Excel. Learn more: https://go.microsoft.com/fwlink/?linkid=870924
Comment:
    Aperture wheel electronics not yet functional</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tc={6FD92BB6-0254-4520-9D4A-A658EA59DCCA}</author>
    <author>tc={AAFAA15D-EEE1-4E43-A954-D095787BF889}</author>
  </authors>
  <commentList>
    <comment ref="E223" authorId="0" shapeId="0" xr:uid="{6FD92BB6-0254-4520-9D4A-A658EA59DCCA}">
      <text>
        <t>[Threaded comment]
Your version of Excel allows you to read this threaded comment; however, any edits to it will get removed if the file is opened in a newer version of Excel. Learn more: https://go.microsoft.com/fwlink/?linkid=870924
Comment:
    I think this value of 21.66 is suspect. I think it was REALLY ~23.6, but the value for RM1A was input again on accident.</t>
      </text>
    </comment>
    <comment ref="AB308" authorId="1" shapeId="0" xr:uid="{AAFAA15D-EEE1-4E43-A954-D095787BF889}">
      <text>
        <t>[Threaded comment]
Your version of Excel allows you to read this threaded comment; however, any edits to it will get removed if the file is opened in a newer version of Excel. Learn more: https://go.microsoft.com/fwlink/?linkid=870924
Comment:
    Please check XY-DoF value for cells I304:J305</t>
      </text>
    </comment>
  </commentList>
</comments>
</file>

<file path=xl/sharedStrings.xml><?xml version="1.0" encoding="utf-8"?>
<sst xmlns="http://schemas.openxmlformats.org/spreadsheetml/2006/main" count="3935" uniqueCount="1020">
  <si>
    <t>Date</t>
  </si>
  <si>
    <t>Time EDT</t>
  </si>
  <si>
    <t>Operator Initials</t>
  </si>
  <si>
    <t>Plateau</t>
  </si>
  <si>
    <t>Final?</t>
  </si>
  <si>
    <t>Target</t>
  </si>
  <si>
    <t>RM1</t>
  </si>
  <si>
    <t>RM2</t>
  </si>
  <si>
    <t>RM3</t>
  </si>
  <si>
    <t>5DOF X</t>
  </si>
  <si>
    <t>5DOF Y</t>
  </si>
  <si>
    <t>5DOF Z</t>
  </si>
  <si>
    <t>5DOF Rx</t>
  </si>
  <si>
    <t>5DOF Ry</t>
  </si>
  <si>
    <t>AC Focus</t>
  </si>
  <si>
    <t>Lidar Sig</t>
  </si>
  <si>
    <t>Range (m)</t>
  </si>
  <si>
    <t>.fits</t>
  </si>
  <si>
    <t>AC AZ (deg)</t>
  </si>
  <si>
    <t>AC EL (deg)</t>
  </si>
  <si>
    <t>X centr (pix)</t>
  </si>
  <si>
    <t>Y centr (pix)</t>
  </si>
  <si>
    <t>Notes</t>
  </si>
  <si>
    <t>template</t>
  </si>
  <si>
    <t>Y</t>
  </si>
  <si>
    <t>sMATF mirror</t>
  </si>
  <si>
    <t>sMATF LED pri</t>
  </si>
  <si>
    <t>sMATF retro</t>
  </si>
  <si>
    <t>CHIPS retro</t>
  </si>
  <si>
    <t>Aperture mirror</t>
  </si>
  <si>
    <t>COPY &amp; PASTE ONLY F COLUMN &gt;&gt;</t>
  </si>
  <si>
    <t>PATB mirror</t>
  </si>
  <si>
    <t>PATB LED pri</t>
  </si>
  <si>
    <t>PATB retro pri</t>
  </si>
  <si>
    <t>PATA mirror</t>
  </si>
  <si>
    <t>PATA LED pri</t>
  </si>
  <si>
    <t>PATA retro pri</t>
  </si>
  <si>
    <t>closeout</t>
  </si>
  <si>
    <t>MW</t>
  </si>
  <si>
    <t>Aperture wheel setup</t>
  </si>
  <si>
    <t>0,28</t>
  </si>
  <si>
    <t>92859</t>
  </si>
  <si>
    <t>Initial alignment of aperture wheel mirror</t>
  </si>
  <si>
    <t>MP</t>
  </si>
  <si>
    <t>BA2</t>
  </si>
  <si>
    <t>0,18</t>
  </si>
  <si>
    <t>1st pass of pre-shim ambient testing (5um stdev)</t>
  </si>
  <si>
    <t>1,75</t>
  </si>
  <si>
    <t>Saved image has sMATF LED &amp; bits together 165441</t>
  </si>
  <si>
    <t>stdev 7.9 um</t>
  </si>
  <si>
    <t>stdev 4.2 um</t>
  </si>
  <si>
    <t>0,25</t>
  </si>
  <si>
    <t>1,72</t>
  </si>
  <si>
    <t>WOA-xxx pre shim</t>
  </si>
  <si>
    <t>1,73</t>
  </si>
  <si>
    <t>0,22</t>
  </si>
  <si>
    <t>PM</t>
  </si>
  <si>
    <t>BA2 (v2)</t>
  </si>
  <si>
    <t>2nd pass of pre-shim ambient testing. Performed in opposite order as the 1st pass</t>
  </si>
  <si>
    <t>PATA LED red</t>
  </si>
  <si>
    <t>0,19</t>
  </si>
  <si>
    <t>The PAT LEDs appear to have drifted by ~1 pixel relative to the 1st pass</t>
  </si>
  <si>
    <t>Whereas the sMATF LED did not; implying the drift was from the 5DOF, not the ADM.</t>
  </si>
  <si>
    <t>&lt;&lt; Last RM positions prior to shim</t>
  </si>
  <si>
    <t>BA3</t>
  </si>
  <si>
    <t>0,24</t>
  </si>
  <si>
    <t>Initial meas after shim</t>
  </si>
  <si>
    <t>1,77</t>
  </si>
  <si>
    <t>0,20</t>
  </si>
  <si>
    <t>Nulling</t>
  </si>
  <si>
    <t>0,23</t>
  </si>
  <si>
    <t>Post null</t>
  </si>
  <si>
    <t>1,74</t>
  </si>
  <si>
    <t>(monitoring drift)</t>
  </si>
  <si>
    <t>disabled motors at 11:28</t>
  </si>
  <si>
    <t>0,21</t>
  </si>
  <si>
    <t>0.8 pix drift/1hr</t>
  </si>
  <si>
    <t>13:15 PURGE LINE INSTALL</t>
  </si>
  <si>
    <t>After purge line install</t>
  </si>
  <si>
    <t>Used jog buttons to move laser spot in camera.  Go to the old positions did not seem to repeat alignment.  Moved laser spot to encoder positions shown here.</t>
  </si>
  <si>
    <t>5/26 BA4</t>
  </si>
  <si>
    <t>adj 1</t>
  </si>
  <si>
    <t>1,76</t>
  </si>
  <si>
    <t>adj 2</t>
  </si>
  <si>
    <t>Nulled here, starting settle clock</t>
  </si>
  <si>
    <t>settle check</t>
  </si>
  <si>
    <t>GSA move did not converge on PATB mirror 18:58:25 UTC</t>
  </si>
  <si>
    <t>5/26 BA4 v2</t>
  </si>
  <si>
    <t>The sMATF LED appears to have shifted! But the RMs were powered off and nobody was in the cleanroom. The prior run is very suspect</t>
  </si>
  <si>
    <t>GSM move did not converge 20:35:16 UTC</t>
  </si>
  <si>
    <t>5/30 BA4</t>
  </si>
  <si>
    <t>Do not re-null RMs</t>
  </si>
  <si>
    <t>(Retro ranged prior to mirror measurement since RM3 was still at Friday's RM3 position)</t>
  </si>
  <si>
    <t>&lt;&lt; differences wrt Friday</t>
  </si>
  <si>
    <t>(14:45-15:30):  camera was ON thru lunch</t>
  </si>
  <si>
    <t>16:05 Pat &amp; Doug went in to remove piece of paper left in beam</t>
  </si>
  <si>
    <t>#5</t>
  </si>
  <si>
    <t>** had to turn sMATF LED down to 2mA</t>
  </si>
  <si>
    <t>5/31 nulling</t>
  </si>
  <si>
    <t>RMs set to last pre-shim position (5/24 19:02 EDT)
RMs reset to yesterdays position (5/30 16:59 EDT)</t>
  </si>
  <si>
    <t>6/1 initial (erroneous) nulling</t>
  </si>
  <si>
    <t>bad return</t>
  </si>
  <si>
    <t>091553</t>
  </si>
  <si>
    <t>RM1&amp;2 left Enabled overnight.  Disabled at 09:00.  Here's First measure</t>
  </si>
  <si>
    <t>090024</t>
  </si>
  <si>
    <t>First measure</t>
  </si>
  <si>
    <t>094858</t>
  </si>
  <si>
    <t>Pete's null pattern (adj RM1 LED, AutoCol meas, RM2 adj)</t>
  </si>
  <si>
    <t>095247</t>
  </si>
  <si>
    <t>10:51 RM1s disabled</t>
  </si>
  <si>
    <t>NULLING</t>
  </si>
  <si>
    <t>111733</t>
  </si>
  <si>
    <t>111907</t>
  </si>
  <si>
    <t>111327</t>
  </si>
  <si>
    <t>11:41 RM1 disabled</t>
  </si>
  <si>
    <t>114731</t>
  </si>
  <si>
    <t>Immediate check after null showed drift, so removed RM1</t>
  </si>
  <si>
    <t>114923</t>
  </si>
  <si>
    <t>115000</t>
  </si>
  <si>
    <t>11:53 RM1s disabled</t>
  </si>
  <si>
    <t>SETTLING</t>
  </si>
  <si>
    <t>115100</t>
  </si>
  <si>
    <t>121030</t>
  </si>
  <si>
    <t>121249</t>
  </si>
  <si>
    <t>121926</t>
  </si>
  <si>
    <t>122215</t>
  </si>
  <si>
    <t>122544</t>
  </si>
  <si>
    <t>122943</t>
  </si>
  <si>
    <t>123508</t>
  </si>
  <si>
    <t>123644</t>
  </si>
  <si>
    <t>124552</t>
  </si>
  <si>
    <t>125000</t>
  </si>
  <si>
    <t>132900</t>
  </si>
  <si>
    <t>133132</t>
  </si>
  <si>
    <t>133353</t>
  </si>
  <si>
    <t>6/1 BA4</t>
  </si>
  <si>
    <t>144828</t>
  </si>
  <si>
    <t>Repeated sMATF after ASIST proc/git branch issues</t>
  </si>
  <si>
    <t>144957</t>
  </si>
  <si>
    <t>150829</t>
  </si>
  <si>
    <t>no tuning done</t>
  </si>
  <si>
    <t>152008</t>
  </si>
  <si>
    <t>154123</t>
  </si>
  <si>
    <t>154402</t>
  </si>
  <si>
    <t>BA5 no-null</t>
  </si>
  <si>
    <t>164432</t>
  </si>
  <si>
    <t>1022,808 initial &gt;&gt; measured at 897, 697</t>
  </si>
  <si>
    <t>165425</t>
  </si>
  <si>
    <t>17:29 RM3 disabled</t>
  </si>
  <si>
    <t>171616</t>
  </si>
  <si>
    <t>pre tooling ball install</t>
  </si>
  <si>
    <t>173105</t>
  </si>
  <si>
    <t>post-tooling ball install</t>
  </si>
  <si>
    <t>173341</t>
  </si>
  <si>
    <t>175522</t>
  </si>
  <si>
    <t>180825</t>
  </si>
  <si>
    <t>182702</t>
  </si>
  <si>
    <t>183317</t>
  </si>
  <si>
    <t>192122</t>
  </si>
  <si>
    <t>194049</t>
  </si>
  <si>
    <t>194548</t>
  </si>
  <si>
    <t>194823</t>
  </si>
  <si>
    <t>195200</t>
  </si>
  <si>
    <t>195807</t>
  </si>
  <si>
    <t>200030</t>
  </si>
  <si>
    <t>8:03:00 PM RMs1&amp;2 disabled</t>
  </si>
  <si>
    <t xml:space="preserve">live camera monitoring LED settling until 8:21 PM </t>
  </si>
  <si>
    <t>202314</t>
  </si>
  <si>
    <t>8:21 PM turned off camera</t>
  </si>
  <si>
    <t>202618</t>
  </si>
  <si>
    <t>203930</t>
  </si>
  <si>
    <t>204133</t>
  </si>
  <si>
    <t>Null the PATB mirror/LED to the post-settling sMATF values.</t>
  </si>
  <si>
    <t>204951</t>
  </si>
  <si>
    <t>Text Evan when you start the move back to sMATF</t>
  </si>
  <si>
    <t>205222</t>
  </si>
  <si>
    <t>205907</t>
  </si>
  <si>
    <t>210157</t>
  </si>
  <si>
    <t>210912</t>
  </si>
  <si>
    <t>211140</t>
  </si>
  <si>
    <t>212535</t>
  </si>
  <si>
    <t>212635</t>
  </si>
  <si>
    <t>213758</t>
  </si>
  <si>
    <t>214012</t>
  </si>
  <si>
    <t>BA5 with null</t>
  </si>
  <si>
    <t>2214950</t>
  </si>
  <si>
    <t>220010</t>
  </si>
  <si>
    <t>221911</t>
  </si>
  <si>
    <t>22:34 RM3 disabled</t>
  </si>
  <si>
    <t>225454</t>
  </si>
  <si>
    <t>231549</t>
  </si>
  <si>
    <t>231849</t>
  </si>
  <si>
    <t>094435</t>
  </si>
  <si>
    <t>Homed RMs. GO to previous positions. RM1a jogged back to same number dif position.  RM1b jogged.  RM2s not moved.</t>
  </si>
  <si>
    <t>NULLED</t>
  </si>
  <si>
    <t>095307</t>
  </si>
  <si>
    <t>(The RM2 mirrors are not positioned like I normally do)</t>
  </si>
  <si>
    <t>100658</t>
  </si>
  <si>
    <t>10:08: All RMs off, starting settle</t>
  </si>
  <si>
    <t>101008</t>
  </si>
  <si>
    <t>102851</t>
  </si>
  <si>
    <t>102645</t>
  </si>
  <si>
    <t>104236</t>
  </si>
  <si>
    <t>104348</t>
  </si>
  <si>
    <t>105333</t>
  </si>
  <si>
    <t>105215</t>
  </si>
  <si>
    <t>BA5 repeatability</t>
  </si>
  <si>
    <t>112448</t>
  </si>
  <si>
    <t>121448</t>
  </si>
  <si>
    <t>125142</t>
  </si>
  <si>
    <t>124731</t>
  </si>
  <si>
    <t>150304</t>
  </si>
  <si>
    <t>lost control of RM1a 13:41, Restart FARM</t>
  </si>
  <si>
    <t>150114</t>
  </si>
  <si>
    <t>1510: All RMS off, starting settle</t>
  </si>
  <si>
    <t>152902</t>
  </si>
  <si>
    <t>153022</t>
  </si>
  <si>
    <t>154107</t>
  </si>
  <si>
    <t>153958</t>
  </si>
  <si>
    <t>154758</t>
  </si>
  <si>
    <t>154846</t>
  </si>
  <si>
    <t>160204</t>
  </si>
  <si>
    <t>160312</t>
  </si>
  <si>
    <t>oops</t>
  </si>
  <si>
    <t>162637</t>
  </si>
  <si>
    <t>163201</t>
  </si>
  <si>
    <t>164819</t>
  </si>
  <si>
    <t>165121</t>
  </si>
  <si>
    <t>182458</t>
  </si>
  <si>
    <t xml:space="preserve">Rehomed mirrors again (twice this time cuz didn't seem to come back to same position).  </t>
  </si>
  <si>
    <t>182301</t>
  </si>
  <si>
    <t>This previous two nulls were very easy compared to this one</t>
  </si>
  <si>
    <t>180010</t>
  </si>
  <si>
    <t>RMs are off</t>
  </si>
  <si>
    <t>184314</t>
  </si>
  <si>
    <t>184150</t>
  </si>
  <si>
    <t xml:space="preserve">SMC functional is running in parallel </t>
  </si>
  <si>
    <t>185243</t>
  </si>
  <si>
    <t>185419</t>
  </si>
  <si>
    <t>190413</t>
  </si>
  <si>
    <t>191342</t>
  </si>
  <si>
    <t>We've reached stability here</t>
  </si>
  <si>
    <t>191517</t>
  </si>
  <si>
    <t>193110</t>
  </si>
  <si>
    <t>193300</t>
  </si>
  <si>
    <t>200641</t>
  </si>
  <si>
    <t>changed RM3 to 24.426 and got 3.472159</t>
  </si>
  <si>
    <t>202405</t>
  </si>
  <si>
    <t>204042</t>
  </si>
  <si>
    <t>204520</t>
  </si>
  <si>
    <t>140354</t>
  </si>
  <si>
    <t>14:02 RMs OFF</t>
  </si>
  <si>
    <t>140147</t>
  </si>
  <si>
    <t>141127</t>
  </si>
  <si>
    <t>141226</t>
  </si>
  <si>
    <t>142432</t>
  </si>
  <si>
    <t>142241</t>
  </si>
  <si>
    <t>143245</t>
  </si>
  <si>
    <t>143337</t>
  </si>
  <si>
    <t>145626</t>
  </si>
  <si>
    <t>144332</t>
  </si>
  <si>
    <t>150106</t>
  </si>
  <si>
    <t>151200</t>
  </si>
  <si>
    <t>151302</t>
  </si>
  <si>
    <t>BA6</t>
  </si>
  <si>
    <t>152231</t>
  </si>
  <si>
    <t>152038</t>
  </si>
  <si>
    <t>15:33 RM3 off</t>
  </si>
  <si>
    <t>155645</t>
  </si>
  <si>
    <t>161420</t>
  </si>
  <si>
    <t>164308</t>
  </si>
  <si>
    <t>165308</t>
  </si>
  <si>
    <t>171205</t>
  </si>
  <si>
    <t>171448</t>
  </si>
  <si>
    <t>CD</t>
  </si>
  <si>
    <t>3832 Event PR-009 continuation #2</t>
  </si>
  <si>
    <t>212831</t>
  </si>
  <si>
    <t>AC LEDs on sMATF primary retro and flat mirror pinhole in view (moved RM2 to put AC LEDs on retro)</t>
  </si>
  <si>
    <t>214116</t>
  </si>
  <si>
    <t>tried to go to infinity focus but code bits are too blurry</t>
  </si>
  <si>
    <t>214532</t>
  </si>
  <si>
    <t>maybe the code bits are better centered in the camera?  is that even desirable?  Still can't decode, though</t>
  </si>
  <si>
    <t>Power up ADM, Farm on with all RM disabled</t>
  </si>
  <si>
    <t>Take dark image and enable dark subtract</t>
  </si>
  <si>
    <t>62927</t>
  </si>
  <si>
    <t>Home and reposition all RMs to row 308</t>
  </si>
  <si>
    <t>Null</t>
  </si>
  <si>
    <t>y</t>
  </si>
  <si>
    <t>70704</t>
  </si>
  <si>
    <t>Nulled</t>
  </si>
  <si>
    <t>0,16</t>
  </si>
  <si>
    <t>71036</t>
  </si>
  <si>
    <t>ADM power left on overnight, Farm on with all RMs disabled.</t>
  </si>
  <si>
    <t>BA7</t>
  </si>
  <si>
    <t>13719</t>
  </si>
  <si>
    <t>Leica beam centroid is ~796/581 at 0,16 focus, standard deviation ~4um</t>
  </si>
  <si>
    <t>24229</t>
  </si>
  <si>
    <t>34125</t>
  </si>
  <si>
    <t>Std dev~6um</t>
  </si>
  <si>
    <t>42227</t>
  </si>
  <si>
    <t>44758</t>
  </si>
  <si>
    <t>Std dev ~7um</t>
  </si>
  <si>
    <t>14513</t>
  </si>
  <si>
    <t>-</t>
  </si>
  <si>
    <t>EB</t>
  </si>
  <si>
    <t>Average of initial/closeout</t>
  </si>
  <si>
    <t>BA8</t>
  </si>
  <si>
    <t>15255</t>
  </si>
  <si>
    <t>Take dark image and enable dark subtract after starting up ABMC.vi</t>
  </si>
  <si>
    <t>125103</t>
  </si>
  <si>
    <t>Leica beam centroid is ~ at 0,16 focus, standard deviation ~um</t>
  </si>
  <si>
    <t>34833</t>
  </si>
  <si>
    <t>Leica beam centroid is ~ 800/584 at 0,16 focus, standard deviation ~7um</t>
  </si>
  <si>
    <t>1,79</t>
  </si>
  <si>
    <t>34643</t>
  </si>
  <si>
    <t>42104</t>
  </si>
  <si>
    <t>42352</t>
  </si>
  <si>
    <t>44450</t>
  </si>
  <si>
    <t>52831</t>
  </si>
  <si>
    <t>X centroid tool has a &gt;2-pix variation, reason TBD</t>
  </si>
  <si>
    <t>54716</t>
  </si>
  <si>
    <t>61017</t>
  </si>
  <si>
    <t>no dark subtract</t>
  </si>
  <si>
    <t>1,80</t>
  </si>
  <si>
    <t>61634</t>
  </si>
  <si>
    <t>dark subtract</t>
  </si>
  <si>
    <t>1,81</t>
  </si>
  <si>
    <t>61844</t>
  </si>
  <si>
    <t>1,82</t>
  </si>
  <si>
    <t>62122</t>
  </si>
  <si>
    <t>1,83</t>
  </si>
  <si>
    <t>62953</t>
  </si>
  <si>
    <t>63204</t>
  </si>
  <si>
    <t>71743</t>
  </si>
  <si>
    <t>74704</t>
  </si>
  <si>
    <t>80614</t>
  </si>
  <si>
    <t>Std dev 9um</t>
  </si>
  <si>
    <t>81841</t>
  </si>
  <si>
    <t>74328</t>
  </si>
  <si>
    <t>Std Dev ~9 um</t>
  </si>
  <si>
    <t>73900</t>
  </si>
  <si>
    <t>81454</t>
  </si>
  <si>
    <t>81822</t>
  </si>
  <si>
    <t>MN</t>
  </si>
  <si>
    <t>91626</t>
  </si>
  <si>
    <t>1,70</t>
  </si>
  <si>
    <t>92458</t>
  </si>
  <si>
    <t>BA9</t>
  </si>
  <si>
    <t>94841</t>
  </si>
  <si>
    <t>95814</t>
  </si>
  <si>
    <t>Std Dev ~5 um</t>
  </si>
  <si>
    <t>202544</t>
  </si>
  <si>
    <t>204432</t>
  </si>
  <si>
    <t>11439</t>
  </si>
  <si>
    <t>6um</t>
  </si>
  <si>
    <t>1,78</t>
  </si>
  <si>
    <t>11843</t>
  </si>
  <si>
    <t>RM1( with rough-in formula, so the pinhole will stay near the center after big RM2 overcorrections)</t>
  </si>
  <si>
    <t>RM2 (with pulling-down formula)</t>
  </si>
  <si>
    <t>X centroid (pix)</t>
  </si>
  <si>
    <t>Y centroid (pix)</t>
  </si>
  <si>
    <t>RM2 overcorrection for AZ/EL (mm/deg)</t>
  </si>
  <si>
    <r>
      <rPr>
        <sz val="14"/>
        <color rgb="FF000000"/>
        <rFont val="Calibri"/>
        <family val="2"/>
      </rPr>
      <t xml:space="preserve">0. Confirm that you have used RM1 only to center the pinhole. 1. RM2 columns have pulling-down formula to calculate desired RM2 positions based on the Az/El measurement in the above row: = (target AZ/AL -measured AZ/EL)* overcorrection constant. You may also overwrite the calculation with numbers to calculate in the next row; </t>
    </r>
    <r>
      <rPr>
        <sz val="14"/>
        <color rgb="FFFF0000"/>
        <rFont val="Calibri"/>
        <family val="2"/>
      </rPr>
      <t>You may add new rows. Do not change or erase the equations above your rows.</t>
    </r>
  </si>
  <si>
    <t> </t>
  </si>
  <si>
    <t>Target values --------&gt;</t>
  </si>
  <si>
    <t>2B/AZ</t>
  </si>
  <si>
    <t>2A/EL</t>
  </si>
  <si>
    <t xml:space="preserve">2.  Apply the calculated RM2 positions to ADM. And apply the rough estimated RM1 values. </t>
  </si>
  <si>
    <t>3. Use RM1 only to move pinhole to center. Record centroid values and Az/El values.</t>
  </si>
  <si>
    <t>PETE: Measure LED first</t>
  </si>
  <si>
    <t>4. If need to do another iterations, pull down the RM2 formula to do the next row.</t>
  </si>
  <si>
    <t>*If the Az/El are too large, i.e., &gt; 0.06, cut down the overcorrection numbers, 10.6 and -17.9 by half to 5 and -8.  Do a first iteration to see the improvement and then you need a 2nd iteration with the correct overcorrection of 10.6 and -17.9.</t>
  </si>
  <si>
    <t>Didn't record after pinhole centered</t>
  </si>
  <si>
    <t>~0.4, or image too bad to measure</t>
  </si>
  <si>
    <t>Restart at row 23, hoping something avoidable error happed in row 24</t>
  </si>
  <si>
    <t xml:space="preserve"> </t>
  </si>
  <si>
    <t>sticking with 5.3, -8.95 overcorrection seems to work much better even when the values are small</t>
  </si>
  <si>
    <t>RM2B</t>
  </si>
  <si>
    <t>RM2A</t>
  </si>
  <si>
    <t>POST SHIM NULL</t>
  </si>
  <si>
    <t>&lt;&lt; WRONG X,Y CENTROID TARGET</t>
  </si>
  <si>
    <t>CONSIDER LED X,Y TARGET VALUES OF 804,606 FOR RM1 DISABE RELAXATION</t>
  </si>
  <si>
    <t>dPixX</t>
  </si>
  <si>
    <t>dPixY</t>
  </si>
  <si>
    <t>hggggggggghhgghggggggggggggggggggggggggggggggggggggggggggggggggggggggggggggggggggggggggggggggggggggggggggggggggggggggggggggggggggggggggggggggggggggggggggggggggggggggggggggggggggggggggggggggggggggggggggggggggghg</t>
  </si>
  <si>
    <t>Rx (deg)</t>
  </si>
  <si>
    <t>Ry (deg)</t>
  </si>
  <si>
    <t>AC Az (deg)</t>
  </si>
  <si>
    <t>Target Az(deg)</t>
  </si>
  <si>
    <t>Target El(deg)</t>
  </si>
  <si>
    <t>Angle between Az and Rx (deg)</t>
  </si>
  <si>
    <t>(rad.)</t>
  </si>
  <si>
    <r>
      <rPr>
        <sz val="14"/>
        <color rgb="FF000000"/>
        <rFont val="Calibri"/>
        <family val="2"/>
      </rPr>
      <t xml:space="preserve">1. RxRy columns have pulling-down formula to calculate desired positions from the Az/El measurement &amp; target in the above row. The equations use the rotational transformation of a rotational angle. </t>
    </r>
    <r>
      <rPr>
        <sz val="14"/>
        <color rgb="FFFF0000"/>
        <rFont val="Calibri"/>
        <family val="2"/>
      </rPr>
      <t>Do not arbitrarily change the angle. You may add new rows. Do not change or erase the equations above your rows.</t>
    </r>
  </si>
  <si>
    <t>2.  Apply the calculated RX Ry to 5DOF.</t>
  </si>
  <si>
    <t>Go here -&gt;</t>
  </si>
  <si>
    <t>Do not change thses!</t>
  </si>
  <si>
    <t>3.  Record the  Az/El measurement.</t>
  </si>
  <si>
    <t>4. If need to do another iteration, fill in the target Az/El, the next row calcutates the new Rx Ry.</t>
  </si>
  <si>
    <t>dX (mm)</t>
  </si>
  <si>
    <t>dY (mm)</t>
  </si>
  <si>
    <t>Px (pix)</t>
  </si>
  <si>
    <t>Py(pix)</t>
  </si>
  <si>
    <t>Target Px (pix)</t>
  </si>
  <si>
    <t>Target Py (pix)</t>
  </si>
  <si>
    <t>Scale (pix/mm)</t>
  </si>
  <si>
    <r>
      <rPr>
        <sz val="14"/>
        <color rgb="FF000000"/>
        <rFont val="Calibri"/>
        <family val="2"/>
      </rPr>
      <t>1. dX, dY columns have pulling-down formula to calculate desired positions from the Px/Py measurement &amp; target in the above row. The equations use the rotational transformation of a rotational angle.</t>
    </r>
    <r>
      <rPr>
        <sz val="14"/>
        <color rgb="FFFF0000"/>
        <rFont val="Calibri"/>
        <family val="2"/>
      </rPr>
      <t xml:space="preserve"> Do not arbitrarily change the angle or scale.</t>
    </r>
    <r>
      <rPr>
        <sz val="14"/>
        <color rgb="FF000000"/>
        <rFont val="Calibri"/>
        <family val="2"/>
      </rPr>
      <t xml:space="preserve"> </t>
    </r>
    <r>
      <rPr>
        <sz val="14"/>
        <color rgb="FFFF0000"/>
        <rFont val="Calibri"/>
        <family val="2"/>
      </rPr>
      <t>You may add new rows. Do not change or erase the equations above your rows.</t>
    </r>
  </si>
  <si>
    <t>2.  Apply the calculated increments dX, dY to 5DOF.</t>
  </si>
  <si>
    <t>Deltas -&gt;</t>
  </si>
  <si>
    <t>Do not change thsese!</t>
  </si>
  <si>
    <t>3.  Record the  Px/Py measurements.</t>
  </si>
  <si>
    <t>4. If need to do another iteration, fill in the target Px/Py, the next row calcutates the new dX dY.</t>
  </si>
  <si>
    <t>Time</t>
  </si>
  <si>
    <t>5DOF x(mm)</t>
  </si>
  <si>
    <t>5DOF y(mm)</t>
  </si>
  <si>
    <t>5DOF z(mm)</t>
  </si>
  <si>
    <t>5DOF Rx(deg)</t>
  </si>
  <si>
    <t>5DOF Ry(deg)</t>
  </si>
  <si>
    <t>Cam exp (ms)</t>
  </si>
  <si>
    <t>Range(m)</t>
  </si>
  <si>
    <t>.bmp</t>
  </si>
  <si>
    <t>AC AZ</t>
  </si>
  <si>
    <t>AC EL</t>
  </si>
  <si>
    <t>X centroid</t>
  </si>
  <si>
    <t>Y centroid</t>
  </si>
  <si>
    <t>Radius</t>
  </si>
  <si>
    <t>Time(EST)</t>
  </si>
  <si>
    <t>ADMBNCHT</t>
  </si>
  <si>
    <t>ADMRADT</t>
  </si>
  <si>
    <t>ADMBOXT</t>
  </si>
  <si>
    <t>ADMAIRT</t>
  </si>
  <si>
    <t>ADMCAMT</t>
  </si>
  <si>
    <t>ADMWINT</t>
  </si>
  <si>
    <t>ADMLEICA</t>
  </si>
  <si>
    <t>A</t>
  </si>
  <si>
    <t>B</t>
  </si>
  <si>
    <t>Infinity</t>
  </si>
  <si>
    <t>3:385/14/2022</t>
  </si>
  <si>
    <t>MATF Retro1</t>
  </si>
  <si>
    <t>RM3 rezero</t>
  </si>
  <si>
    <t>SMPA Retro2</t>
  </si>
  <si>
    <t>Focus at mirror</t>
  </si>
  <si>
    <t>0,202</t>
  </si>
  <si>
    <t>RM, focus rezero</t>
  </si>
  <si>
    <t>focus Retro2</t>
  </si>
  <si>
    <t>1, 19</t>
  </si>
  <si>
    <t>Focus at mirror, center illumination to code bit</t>
  </si>
  <si>
    <t>Retro 1 range</t>
  </si>
  <si>
    <t>1,69</t>
  </si>
  <si>
    <t>center illumination from north east to mirror center</t>
  </si>
  <si>
    <t>1,68</t>
  </si>
  <si>
    <t>Good infinity with theodolite looking back</t>
  </si>
  <si>
    <t>focus Retro1</t>
  </si>
  <si>
    <t>Inifinity Retro1, faint but fair code bit image</t>
  </si>
  <si>
    <t>inifinity Mirror, faint and blurred code bit pattern</t>
  </si>
  <si>
    <t>inifinity Mirror, faint, pattern washed out</t>
  </si>
  <si>
    <t>Inifinity Retro1, washed out</t>
  </si>
  <si>
    <t>lost mirror position</t>
  </si>
  <si>
    <t>Retro2</t>
  </si>
  <si>
    <t>Mirror</t>
  </si>
  <si>
    <t>Rezero M2 to about on 9/20 (green line)</t>
  </si>
  <si>
    <t>infininity Retro1, better image</t>
  </si>
  <si>
    <t>Theodolite centers laser to code-bits</t>
  </si>
  <si>
    <t>Rezero M3 to green line</t>
  </si>
  <si>
    <t>Center illumination &amp;pinhole to CCD</t>
  </si>
  <si>
    <t>Moving Salsa mirror torward center, Lidar beam started to clip middle way; moving RM1 + in A&amp;B gave more room for Salsa turning</t>
  </si>
  <si>
    <t>lost mirror position, probably rezeroed nearby green line</t>
  </si>
  <si>
    <t>checking inifinity, bits image improved</t>
  </si>
  <si>
    <t>51711.fits</t>
  </si>
  <si>
    <t>Jeo had to laterally shift the theodolite to the center of ADM</t>
  </si>
  <si>
    <t>tapped Salsa slightly, the laser move from NW to center at mirror focus and move from SW closer to center</t>
  </si>
  <si>
    <t>Retro1</t>
  </si>
  <si>
    <t>Save image with laser on</t>
  </si>
  <si>
    <t>1,71</t>
  </si>
  <si>
    <t>Save image with IR laser on</t>
  </si>
  <si>
    <t>1,62</t>
  </si>
  <si>
    <t>ADM overhaul replacing all 6 RM mirror actuators, and the LEDs</t>
  </si>
  <si>
    <t>Initial good RM positions</t>
  </si>
  <si>
    <t>laser centers on autocollimator</t>
  </si>
  <si>
    <t>0,0</t>
  </si>
  <si>
    <t>0,1</t>
  </si>
  <si>
    <t>0,2</t>
  </si>
  <si>
    <t>0,3</t>
  </si>
  <si>
    <t>0,4</t>
  </si>
  <si>
    <t>rm1a optimal at 22</t>
  </si>
  <si>
    <t>0,5</t>
  </si>
  <si>
    <t xml:space="preserve">worse </t>
  </si>
  <si>
    <t>rm2b might have missed move</t>
  </si>
  <si>
    <t>1,45</t>
  </si>
  <si>
    <t>smr image</t>
  </si>
  <si>
    <t>2,75</t>
  </si>
  <si>
    <t>2,0</t>
  </si>
  <si>
    <t>0'0</t>
  </si>
  <si>
    <t xml:space="preserve">Theodolite aligned </t>
  </si>
  <si>
    <t>flat mirror image</t>
  </si>
  <si>
    <t>autocollimation on close flat</t>
  </si>
  <si>
    <t>laser on close flat</t>
  </si>
  <si>
    <t xml:space="preserve">center pinhole to ccd from southwest </t>
  </si>
  <si>
    <t>keep pinhole centered, (1a/2b)(1b/2ax1.5)</t>
  </si>
  <si>
    <t>Retro</t>
  </si>
  <si>
    <t>flat mirror</t>
  </si>
  <si>
    <t>Lidar signal improved to 3</t>
  </si>
  <si>
    <t>Centered laser , Retro at ADM window</t>
  </si>
  <si>
    <t>center theodolite</t>
  </si>
  <si>
    <t>Theodolite aligned with Laser</t>
  </si>
  <si>
    <t>flat mirror aligned with theodolite</t>
  </si>
  <si>
    <t>flat mirror at infinite focus</t>
  </si>
  <si>
    <t>Initial cat's eye sWFI mirror</t>
  </si>
  <si>
    <t>sWFI mirror at infinity</t>
  </si>
  <si>
    <t>0,31</t>
  </si>
  <si>
    <t>0,33</t>
  </si>
  <si>
    <t>sMATF mirror AC image at infinity</t>
  </si>
  <si>
    <t>sMATF mirror at infinity,  ADM under some human perturbation</t>
  </si>
  <si>
    <t>0,32</t>
  </si>
  <si>
    <t>48_08</t>
  </si>
  <si>
    <t>sMATF mirror at infinity, ADM under some human perturbation</t>
  </si>
  <si>
    <t>0,34</t>
  </si>
  <si>
    <t>02_20</t>
  </si>
  <si>
    <t>ADM under some human perturbation</t>
  </si>
  <si>
    <t>0,35</t>
  </si>
  <si>
    <t>06_32</t>
  </si>
  <si>
    <t>LED13 (sMATF Target) on, measure mirror center</t>
  </si>
  <si>
    <t>LED14 (sMATF Target) on, measure mirror center</t>
  </si>
  <si>
    <t>sMATF Flat mirror AC image, cat's eye</t>
  </si>
  <si>
    <t>sMATF Flat mirror AC image, infinity</t>
  </si>
  <si>
    <t>Range, saved MATFrangeJan9.txt</t>
  </si>
  <si>
    <t>?</t>
  </si>
  <si>
    <t>Tool flat mirror at ADM, cat's eye</t>
  </si>
  <si>
    <t xml:space="preserve"> Tool flat mirror at ADM, infinity</t>
  </si>
  <si>
    <t>44_49</t>
  </si>
  <si>
    <t>At nominal 5DOF position, measure PAT2 Primary LED centroid</t>
  </si>
  <si>
    <t>At nominal 5DOF position, measure PAT2  Redundant LED centroid</t>
  </si>
  <si>
    <t>PAT2 Primary Retro next to Primary LED, 5DOF moved x=6mm, Y=-26mm from nominal SPA position</t>
  </si>
  <si>
    <t>Re-range PAT2  Primary Retro, assuming RMs parked after prior day's shut down;</t>
  </si>
  <si>
    <t>Using  Lidar IR  illumination to  take PAT2 primary retro  image</t>
  </si>
  <si>
    <t>Move  x=105.75,y=101.2, so lidar illuminated PAT2 primary Retro image becomes better; eyeball the apex again</t>
  </si>
  <si>
    <t>Move  x=128.493,y=141.205, range PAT2 redundant Retro</t>
  </si>
  <si>
    <t>Take redundant Retro image using Lidar IR beam; eyeball the retro apex off the image</t>
  </si>
  <si>
    <t>H2 position, adjust RM2 to center  sMATF mirror pinhole to CCD</t>
  </si>
  <si>
    <t>Adjust Rm3 to range sMATF retro</t>
  </si>
  <si>
    <t>Take retro image using Lidar beam</t>
  </si>
  <si>
    <t>Take AC image including sMATF mirror pinhole and retro/lidar at SW corner</t>
  </si>
  <si>
    <t>Take AC image including  sMATF mirror pinhole and retro/lidar after restoring RM3 positions</t>
  </si>
  <si>
    <t>AC image of sMATF mirror Cat's eye</t>
  </si>
  <si>
    <t>Ac image of sMATF mirror infinity</t>
  </si>
  <si>
    <t>0,27</t>
  </si>
  <si>
    <t>sMATF AL/EL measurement at Cat's eye</t>
  </si>
  <si>
    <t>sMATF AL/EL measurement at infinity</t>
  </si>
  <si>
    <t>sMATF Mirror at Cat's eye, keep pinhole centered, move illumination from right to center</t>
  </si>
  <si>
    <t>sMATF Mirror at infinity</t>
  </si>
  <si>
    <t>0,15</t>
  </si>
  <si>
    <t>Fine tuning RMs using the matrix tool</t>
  </si>
  <si>
    <t>Take sMATF mirror image at infinity</t>
  </si>
  <si>
    <t>Take sMATF mirror image at Cat's eye</t>
  </si>
  <si>
    <t>1,67</t>
  </si>
  <si>
    <t>Move 5dof to P2 position</t>
  </si>
  <si>
    <t xml:space="preserve">Adjust to Rx=?, Ry=?, AC image of PATB flat mirror; on 1/13, retrived Rx=0.08955, Ry=0.04604 </t>
  </si>
  <si>
    <t>0,30</t>
  </si>
  <si>
    <t xml:space="preserve">PATB Redundant LED, 5DOF moved to x=111.505mm, Y=-148.801mm </t>
  </si>
  <si>
    <t>5DOF moved to x=124.405mm, Y=142.401mm to "center" PATB redundant retro</t>
  </si>
  <si>
    <t>1,150?</t>
  </si>
  <si>
    <t>5DOF moved to x=100.693mm, Y=100.398mm to "center" PATB primary retro</t>
  </si>
  <si>
    <t>5DOF moved to x=88.503mm, Y=108.398mm to "center" PATB primary LED</t>
  </si>
  <si>
    <t>1,32</t>
  </si>
  <si>
    <t>Move 5dof to P1 position</t>
  </si>
  <si>
    <t>Adjust to Rx=0.6382, Ry=0.3495, AC image of PATA flat mirror; Data retrival on 1/13 showed that  the values should have been  Rx=0.06382, Ry=0.03495</t>
  </si>
  <si>
    <t>Move 5DOF  to "center" PATA primary LED</t>
  </si>
  <si>
    <t>Move 5DOF to "center" PATA primary retro</t>
  </si>
  <si>
    <t>Move 5DOF to "center" PATA redundant retro</t>
  </si>
  <si>
    <t>142.101?</t>
  </si>
  <si>
    <t>Move 5DOF to "center" PATA redundant LED</t>
  </si>
  <si>
    <t>Adjust to Rx=0.08766, Ry=0.04135, retake center AC image of PATB flat mirror</t>
  </si>
  <si>
    <t>Retrieve the I186 and J186 using the 5DOF position log and the time stamp</t>
  </si>
  <si>
    <t>Add 10 new 5DOF PATA PATB nominal positions</t>
  </si>
  <si>
    <t>Move to PATA Mirror, rx=0.06382,ry=0.03495</t>
  </si>
  <si>
    <t>PATA LED primary, targeting (797,607)</t>
  </si>
  <si>
    <t>PATA Retro Primary</t>
  </si>
  <si>
    <t>PATA Retro Redantant</t>
  </si>
  <si>
    <t>PATA LED Redundant</t>
  </si>
  <si>
    <t>Move to PATB Mirror, rx=0.08955,ry=0.04604</t>
  </si>
  <si>
    <t>PATB LED primary</t>
  </si>
  <si>
    <t>PATB Retro Primary</t>
  </si>
  <si>
    <t>PATB Retro Redundant</t>
  </si>
  <si>
    <t>PATB LED Redundant</t>
  </si>
  <si>
    <t>Move to H2 position</t>
  </si>
  <si>
    <t>Check sMATF mirror center</t>
  </si>
  <si>
    <t>1,65</t>
  </si>
  <si>
    <t>sMATF Mirror AC image, cat's eye</t>
  </si>
  <si>
    <t>sMATF AC image, infinity focus</t>
  </si>
  <si>
    <t>Adjust ADM rm3 to sMATF Retro</t>
  </si>
  <si>
    <t>PATA LED Redundant, tuning 5DOF x&amp;Y to reach new target centroid (808,606, the sMATF reference)</t>
  </si>
  <si>
    <t>PATA LED primary</t>
  </si>
  <si>
    <t>PATB LED Redundant, checking repeatability overnight and rack on/off</t>
  </si>
  <si>
    <t>5DOFx</t>
  </si>
  <si>
    <t>5DOFy</t>
  </si>
  <si>
    <t>5DOFz</t>
  </si>
  <si>
    <t>Cam exp(ms)</t>
  </si>
  <si>
    <t>Range repeatability (m)</t>
  </si>
  <si>
    <t>move from pr 1 H2 position</t>
  </si>
  <si>
    <t>sMATF mirror crosshair</t>
  </si>
  <si>
    <t>sMATF Retro</t>
  </si>
  <si>
    <t>7~</t>
  </si>
  <si>
    <t>PATAB Mirror</t>
  </si>
  <si>
    <t>PATAB LED</t>
  </si>
  <si>
    <t>Crosshair ref?</t>
  </si>
  <si>
    <t>Post PR2 move to H2 and set RMs</t>
  </si>
  <si>
    <t>range to sMATF retro</t>
  </si>
  <si>
    <t>visible return in bottom left of camera</t>
  </si>
  <si>
    <t>tried to use tweak tool by going straight to the last iteration and it did not work.  Stopping for shift change</t>
  </si>
  <si>
    <t>now AC working</t>
  </si>
  <si>
    <t>sMATF mirror AC B227</t>
  </si>
  <si>
    <t>Use Evan's Matrix to tune</t>
  </si>
  <si>
    <t>Range  sMATF retro</t>
  </si>
  <si>
    <t>sMATF mirror pinhole</t>
  </si>
  <si>
    <t>PATB mirror AC rx=0.089, ry=0.046</t>
  </si>
  <si>
    <t>PATB mirror AC rx=0.106, ry=0.061, update all 5 nominals with new Rx, Ry</t>
  </si>
  <si>
    <t>PATB primary LED</t>
  </si>
  <si>
    <t>PATB primary Retro</t>
  </si>
  <si>
    <t>Apply offsets to all PATA PATB retro nominal table with x:-31.5 and y:+2.5 on ASIST</t>
  </si>
  <si>
    <t>PATB mirror, nominal rx and ry</t>
  </si>
  <si>
    <t>PATB primary LED, same as morning position</t>
  </si>
  <si>
    <t>PATB primary Retro, nomial position</t>
  </si>
  <si>
    <t>Rx=0.1052, Ry=0.0608</t>
  </si>
  <si>
    <t>sMATF mirror (5DOF stowed)</t>
  </si>
  <si>
    <t>Slight shift, visible to the naked eye</t>
  </si>
  <si>
    <t>sMATF Retro (5DOF stowed)</t>
  </si>
  <si>
    <t>sMATF mirror, H2 position</t>
  </si>
  <si>
    <t>0,26</t>
  </si>
  <si>
    <t>sMATF mirror, pinhole</t>
  </si>
  <si>
    <t>PATB mirror, nominal rx=0.105 and ry=0.061</t>
  </si>
  <si>
    <t>5DOFx (mm)</t>
  </si>
  <si>
    <t>5DOFy (mm)</t>
  </si>
  <si>
    <t>5DOFz (mm)</t>
  </si>
  <si>
    <t>5DOF Rx (deg)</t>
  </si>
  <si>
    <t>5DOF Ry (deg)</t>
  </si>
  <si>
    <t>sMATF mirror, pinhole, H2 position</t>
  </si>
  <si>
    <t>sMATF Retro, H2 position</t>
  </si>
  <si>
    <t>Note: for this check we are purposely NOT optimizing RMs during sMATF measurement or 5DOF positions during PATB measurement
Turns out, we wouldn't have needed to do any adjustments anyway because things were in tolerance with nominal positions</t>
  </si>
  <si>
    <t>For ADM on Feb3:</t>
  </si>
  <si>
    <t>Keep RMs the same, go to H2 position</t>
  </si>
  <si>
    <t>Measure Az and El and centroid (do not center or minimize Az, el)</t>
  </si>
  <si>
    <t>1,88</t>
  </si>
  <si>
    <t>Range if possible</t>
  </si>
  <si>
    <t>Go to PATB with nominal/previous 5DOF positions measure the Az, El, centroid position and range if possible.</t>
  </si>
  <si>
    <t>(start nominal ADM ops here) Go back to H2 and use RMs to bring Az, El and centroid into alignment and move rm3 if needed to range.</t>
  </si>
  <si>
    <t>Go to PATB and adjust 5DOF to match sMATF az, el and centroid as needed.  Adjust 5DOF to range as needed.</t>
  </si>
  <si>
    <t>Go to PATA and repeat 5DOF adjustment to match sMATF az, el and centroid as needed. Adjust 5DOF to range as needed.</t>
  </si>
  <si>
    <t>PATA primary LED</t>
  </si>
  <si>
    <t>PATA primary Retro</t>
  </si>
  <si>
    <t>PATA retro &amp; LED in the same image</t>
  </si>
  <si>
    <t>can't see both the LED and retro at the same time?  At least not when we are at the retro target</t>
  </si>
  <si>
    <t>1,84</t>
  </si>
  <si>
    <t>PATB primary Retro @ sMATF pinhole</t>
  </si>
  <si>
    <t>VERY uncertain. +/-500 microns?</t>
  </si>
  <si>
    <t>PATB redundant Retro</t>
  </si>
  <si>
    <t>PATB redundant Retro @ sMATF pinhole</t>
  </si>
  <si>
    <t>PATA primary Retro @ sMATF pinhole</t>
  </si>
  <si>
    <t>Not visible; intensity drops to zero while translating to center.</t>
  </si>
  <si>
    <t>PATA redundant Retro</t>
  </si>
  <si>
    <t>Not visible</t>
  </si>
  <si>
    <t>PATA redundant Retro @ sMATF pinhole</t>
  </si>
  <si>
    <t>Shift PAT retro image to center</t>
  </si>
  <si>
    <t>Scale in PAT plane C(pix/mm)</t>
  </si>
  <si>
    <t>RM3a</t>
  </si>
  <si>
    <t>RM3b</t>
  </si>
  <si>
    <t>x</t>
  </si>
  <si>
    <t>Steer Rm3 to illuminate center FOV with Lidar, and translate 5Dof x-y to move PATA primary Retro to the center</t>
  </si>
  <si>
    <t>Better focus Az (will cause small unwanted image shift)</t>
  </si>
  <si>
    <t>PATB primary Retro @ AC image center</t>
  </si>
  <si>
    <t>PATB primary Retro @ AC image corner by restoring RM3</t>
  </si>
  <si>
    <t>SMATF Retro</t>
  </si>
  <si>
    <t>Chips Retro</t>
  </si>
  <si>
    <t>1,52</t>
  </si>
  <si>
    <t>sMATF Mirror</t>
  </si>
  <si>
    <t>sMATF Mirror, Rm homing and optimization</t>
  </si>
  <si>
    <t>PATB Mirror</t>
  </si>
  <si>
    <t>PATB Pri Retro</t>
  </si>
  <si>
    <t>PATB Pri Retro at Center, optimal focus</t>
  </si>
  <si>
    <t>sMATF mirror, reoptimized after SALSA mirror adjustment</t>
  </si>
  <si>
    <t>PATB redundant LED</t>
  </si>
  <si>
    <t>5DOF @ H2, prior to range repeatability of sMATF retro</t>
  </si>
  <si>
    <t>many measurements performed here. See range files</t>
  </si>
  <si>
    <t>5DOF @ H2, prior to range repeatability of Chips retro</t>
  </si>
  <si>
    <t>PATB primary Retro (at nominal position)</t>
  </si>
  <si>
    <t>PATB primary LED (0,0)</t>
  </si>
  <si>
    <t>PATB primary LED (9,0)</t>
  </si>
  <si>
    <t>Clocking (deg)</t>
  </si>
  <si>
    <t>PATB primary LED (-9,0)</t>
  </si>
  <si>
    <t>PATB primary LED (0,9)</t>
  </si>
  <si>
    <t>PATB primary LED (0,-9)</t>
  </si>
  <si>
    <t>Chips Retro(RMs roughed)</t>
  </si>
  <si>
    <t>disabled</t>
  </si>
  <si>
    <t>sMATF Retro(RMs roughed)</t>
  </si>
  <si>
    <t>sMATF Retro (starting point)</t>
  </si>
  <si>
    <t>sMATF Retro (after re-homing RM1)</t>
  </si>
  <si>
    <t>sMATF Retro (after re-homing RM1 again)</t>
  </si>
  <si>
    <t>Plate scale: 1 pixel = 60 microns.</t>
  </si>
  <si>
    <t>sMATF Retro (after re-homing RM2)</t>
  </si>
  <si>
    <t>sMATF Retro (after jogging RM2 positive then negative .02mm)</t>
  </si>
  <si>
    <t>sMATF Retro (after jogging RM2 negative then positive .02mm)</t>
  </si>
  <si>
    <t>sMATF Retro (after jogging RM2 positive then negative .05mm)</t>
  </si>
  <si>
    <t>sMATF Retro (after jogging RM2 negative then positive .05mm)</t>
  </si>
  <si>
    <t>*Changed the ADM RM backlash correction parameter from 0.02 mm to 0.1 mm</t>
  </si>
  <si>
    <t>sMATF retro (after re-homing RM1 and RM2)</t>
  </si>
  <si>
    <t>sMATF Retro (after jogging RM1 positive then negative .1mm)</t>
  </si>
  <si>
    <t>sMATF Retro (after jogging RM1 negative then positive .1mm)</t>
  </si>
  <si>
    <t>sMATF Retro (after jogging RM2 negative then positive .1mm)</t>
  </si>
  <si>
    <t>sMATF Retro (after homing RM2)</t>
  </si>
  <si>
    <t>sMATF Retro (after homing RM2 again)</t>
  </si>
  <si>
    <t>Found a way to null ADM with RM1,2</t>
  </si>
  <si>
    <t>PATB Pri Retro nominal position</t>
  </si>
  <si>
    <t>PATB Pri Retro, new RX Ry</t>
  </si>
  <si>
    <t>PATB mirror (at start of day)</t>
  </si>
  <si>
    <t>PATB mirror (after correction 1)</t>
  </si>
  <si>
    <t>PATB primary LED (0,0) (again)</t>
  </si>
  <si>
    <t>PATB primary LED (repeats)</t>
  </si>
  <si>
    <t>PATB mirror (re-check)</t>
  </si>
  <si>
    <t>sMATF mirror (Re-check, RMs unchanged from before)</t>
  </si>
  <si>
    <t>-2147.48(+250)</t>
  </si>
  <si>
    <t>laser on at ~12:50</t>
  </si>
  <si>
    <t>PATB primary Retro (centered at pinhole)</t>
  </si>
  <si>
    <t>powered off camera, LEDs, focus, leica, RM controller to help ADM cool a bit</t>
  </si>
  <si>
    <t>metrology happening here</t>
  </si>
  <si>
    <t>CHIPs retro</t>
  </si>
  <si>
    <t>sMATF mirror (after RM optimization)</t>
  </si>
  <si>
    <t>sMATF LED (after RM optimization)</t>
  </si>
  <si>
    <t>sMATF retro (after RM optimization)</t>
  </si>
  <si>
    <t>CHIPs retro (after RM optimization)</t>
  </si>
  <si>
    <t>PATB Retro pri</t>
  </si>
  <si>
    <t>PATB Retro pri (@ sMATF pinhole)</t>
  </si>
  <si>
    <t>POST PR5</t>
  </si>
  <si>
    <t>-2147.480(+250)</t>
  </si>
  <si>
    <t>0,17</t>
  </si>
  <si>
    <t>Jog AC focus to 126 and + to 129, PSF not optimal by eye</t>
  </si>
  <si>
    <t>PSF degredated by eye</t>
  </si>
  <si>
    <t>Optimal PSF by eye</t>
  </si>
  <si>
    <t>Home Rm1A, and replace</t>
  </si>
  <si>
    <t>Tune Rm1A, B, wait a few minutes and retune 1B</t>
  </si>
  <si>
    <t>Home and Replace RM1</t>
  </si>
  <si>
    <t>PATB pri Retro at center position, image with AC LED illumination</t>
  </si>
  <si>
    <t>PATB pri Retro at center position, image with LIDAR illumination</t>
  </si>
  <si>
    <t>PATB LED pri position, Retro is also captured in image</t>
  </si>
  <si>
    <t>0,14</t>
  </si>
  <si>
    <t>Shim happened here</t>
  </si>
  <si>
    <r>
      <rPr>
        <sz val="8"/>
        <color rgb="FF000000"/>
        <rFont val="Calibri"/>
        <family val="2"/>
      </rPr>
      <t xml:space="preserve">Mirror Range (after RM optimization) </t>
    </r>
    <r>
      <rPr>
        <sz val="8"/>
        <color rgb="FFFF0000"/>
        <rFont val="Calibri"/>
        <family val="2"/>
      </rPr>
      <t>Max Signal but bad StDev</t>
    </r>
  </si>
  <si>
    <t>PATA Retro pri</t>
  </si>
  <si>
    <t>sMATF retro, some high StDev points up to 11um</t>
  </si>
  <si>
    <t xml:space="preserve">sMATF mirror </t>
  </si>
  <si>
    <r>
      <rPr>
        <sz val="8"/>
        <color rgb="FF000000"/>
        <rFont val="Calibri"/>
        <family val="2"/>
      </rPr>
      <t xml:space="preserve">Mirror Range (after RM optimization) </t>
    </r>
    <r>
      <rPr>
        <sz val="8"/>
        <color rgb="FFFF0000"/>
        <rFont val="Calibri"/>
        <family val="2"/>
      </rPr>
      <t>all bad StDev except first point</t>
    </r>
  </si>
  <si>
    <t>Range PATB mirror, all bad StDev except first point</t>
  </si>
  <si>
    <t>PATB Retro pri, pinhole location</t>
  </si>
  <si>
    <t>PATB Retro pri, Apex and LED Pri image</t>
  </si>
  <si>
    <t>PATB Retro pri, Range</t>
  </si>
  <si>
    <t>sMATF LED</t>
  </si>
  <si>
    <t>Range sMATF mirror</t>
  </si>
  <si>
    <t xml:space="preserve">sMATF retro </t>
  </si>
  <si>
    <t>sMATF mirror before nulling</t>
  </si>
  <si>
    <t>sMATF mirror Rm1, 2 Nulling</t>
  </si>
  <si>
    <t>sMATF mirror Rm1, 2 Nulled 6:20pm</t>
  </si>
  <si>
    <t>sMATF mirror Rm1, 2 Nulled 6:27pm</t>
  </si>
  <si>
    <t>sMATF mirror Rm1, 2 Nulled 6:38pm</t>
  </si>
  <si>
    <t>sMATF mirror Rm1, 2 Nulled 6:46pm</t>
  </si>
  <si>
    <t>sMATF mirror Rm1, 2 Nulled 6:49pm</t>
  </si>
  <si>
    <t>sMATF mirror Rm1, 2 Nulled 7:21pm</t>
  </si>
  <si>
    <t>sMATF mirror Rm1, 2 Nulled 7:23pm</t>
  </si>
  <si>
    <t>sMATF mirror, record drift</t>
  </si>
  <si>
    <t>~8:45am</t>
  </si>
  <si>
    <t>~9:00am</t>
  </si>
  <si>
    <t>couldnt get signal</t>
  </si>
  <si>
    <t>~10:15am</t>
  </si>
  <si>
    <t>~11:15</t>
  </si>
  <si>
    <t>~11:20</t>
  </si>
  <si>
    <t>~11:30</t>
  </si>
  <si>
    <t>~11:35</t>
  </si>
  <si>
    <t>just turned off RM controller</t>
  </si>
  <si>
    <t>~11:51</t>
  </si>
  <si>
    <t>~12:03</t>
  </si>
  <si>
    <t>~12:11</t>
  </si>
  <si>
    <t>~12:20</t>
  </si>
  <si>
    <t>~12:30</t>
  </si>
  <si>
    <t>camera off after this measurement to cool down</t>
  </si>
  <si>
    <t>~12:40</t>
  </si>
  <si>
    <t>camera back on for more measurements</t>
  </si>
  <si>
    <t>~13:50</t>
  </si>
  <si>
    <t>~14:00</t>
  </si>
  <si>
    <t>turning RM controller back ON after this measurement</t>
  </si>
  <si>
    <t>~14:10</t>
  </si>
  <si>
    <t>~14:20</t>
  </si>
  <si>
    <t>~14:30</t>
  </si>
  <si>
    <t>camera off after this measurement to avoid 310K limit, now turning it off after each measurement</t>
  </si>
  <si>
    <t>~14:40</t>
  </si>
  <si>
    <t>~14:50</t>
  </si>
  <si>
    <t>~15:00</t>
  </si>
  <si>
    <t>~15:10</t>
  </si>
  <si>
    <t>~15:20</t>
  </si>
  <si>
    <t>RM controller off at 16:00</t>
  </si>
  <si>
    <t>sMATF mirror, FARM Off, record drift</t>
  </si>
  <si>
    <t>PATB Retro Pri</t>
  </si>
  <si>
    <t>PATA Retro Pri</t>
  </si>
  <si>
    <t>PATA Retro Redundant, failed, maybe becuase of the Leica or the retro</t>
  </si>
  <si>
    <r>
      <t>AC AZ (</t>
    </r>
    <r>
      <rPr>
        <b/>
        <sz val="10"/>
        <color theme="1"/>
        <rFont val="Calibri"/>
        <family val="2"/>
      </rPr>
      <t>°)</t>
    </r>
  </si>
  <si>
    <t>AC EL (°)</t>
  </si>
  <si>
    <t>For these measurements, the ADM cooling loops have been on and the RM motor controller and ADM network switch have been on for ~2 hours.  Other components (focus motor, camera, leica) are on for as short as possible and not "warmed up" in any way</t>
  </si>
  <si>
    <t>20:18?</t>
  </si>
  <si>
    <t>presumably still at the same positions from 3/17</t>
  </si>
  <si>
    <t>leica settings were left at 20C/ambient pressure</t>
  </si>
  <si>
    <t>This image was still pretty blurry; I couldn't improve it. Lets watch this</t>
  </si>
  <si>
    <t>The sweet spot is ~10um dia. of RM3</t>
  </si>
  <si>
    <t>nearly to cold plateau 1</t>
  </si>
  <si>
    <t>NA</t>
  </si>
  <si>
    <t>couldn't quite find a return from the retro, not necessary right now... will find it better later.  It seems like this position is actually hitting the flat mirror, not the retro</t>
  </si>
  <si>
    <t>Range of sMATF mirror</t>
  </si>
  <si>
    <t>very foggy image, training only</t>
  </si>
  <si>
    <t>Range sMATF mirror, trial</t>
  </si>
  <si>
    <t>Range sMATF mirror, optimal</t>
  </si>
  <si>
    <t>Range standard deviation ~3um</t>
  </si>
  <si>
    <t>Range standard deviation ~5um</t>
  </si>
  <si>
    <t>Range of PATB mirror</t>
  </si>
  <si>
    <t>adjust RM3A slighltly</t>
  </si>
  <si>
    <t>sMATF redundant LED</t>
  </si>
  <si>
    <t>PATB LED red</t>
  </si>
  <si>
    <t>PATB retro red</t>
  </si>
  <si>
    <t>PATA retro red has no Lidar return</t>
  </si>
  <si>
    <t>Same as 3/24</t>
  </si>
  <si>
    <t>for this test, the RM controller and ADM network switch have been on since ~04:45AM</t>
  </si>
  <si>
    <t>presumably still at the same positions from 3/31</t>
  </si>
  <si>
    <t>leica set to 20C, 0mbar.  I wasn't sure what temperature to use :(</t>
  </si>
  <si>
    <t>sMATF mirror AC</t>
  </si>
  <si>
    <t>0,29</t>
  </si>
  <si>
    <t>making two measurements at different parts of the image, the AC is very blurred but seems repeatable?</t>
  </si>
  <si>
    <t>sMATF primary LED</t>
  </si>
  <si>
    <t>primary LED is working!  We're close-ish at current RM1/2 positions (would have to home them and start over to do better)</t>
  </si>
  <si>
    <t>getting centroid+AC for repeatability</t>
  </si>
  <si>
    <t>seems like Y is slowly drifting down?</t>
  </si>
  <si>
    <t>sMATF mirror range</t>
  </si>
  <si>
    <t>can't seem to get a good result after hunting around for ~20min or so...</t>
  </si>
  <si>
    <t>still drifting a little?</t>
  </si>
  <si>
    <t>yep Az/El is pretty consistent even with the super fuzzy image</t>
  </si>
  <si>
    <t>PATB mirror range</t>
  </si>
  <si>
    <t>Couldn't get any signal; moving onto other targets amid time concerns</t>
  </si>
  <si>
    <t>PATA retro red</t>
  </si>
  <si>
    <t>Couldn't get any signal; no time to investigate unfortunately.</t>
  </si>
  <si>
    <t>These measurements performed at warm plateau after CP#2</t>
  </si>
  <si>
    <t>looks like we weren't sure where RM1/2 were for this measurement</t>
  </si>
  <si>
    <t>20C, 0mbar</t>
  </si>
  <si>
    <t>very clear bits (so must be cold distortion on SALSA that causes fuzzy bits when at CP?)</t>
  </si>
  <si>
    <t>just a little drift/settling since the measurement we made when nulling on the RM Null tab</t>
  </si>
  <si>
    <t>Hey got signal this time!!  7 is about as much as we've ever gotten</t>
  </si>
  <si>
    <t>And got a good return with low stdev for the mirror!</t>
  </si>
  <si>
    <t>Az/El still good</t>
  </si>
  <si>
    <t>X,Y centroid still drifting in +x,-y direction</t>
  </si>
  <si>
    <t>PATB mirror AC</t>
  </si>
  <si>
    <t>NOTE: had to switch back to ambient LES pitch config file!!!!</t>
  </si>
  <si>
    <t>didn't find any return after hunting around in rx/ry a little</t>
  </si>
  <si>
    <t>LED at nominal</t>
  </si>
  <si>
    <t>LED at close to last sMATF LED position</t>
  </si>
  <si>
    <t>20C, 0mbar ~5stdev</t>
  </si>
  <si>
    <t>note that we had to go back to RM3 values from sMATF mirror range, ~10um stde</t>
  </si>
  <si>
    <t>didn't actually change anything but did another measurement sent and got better stdev (~5um)</t>
  </si>
  <si>
    <t>ADM measurements with Clint, Pete, Pat, and Derek on the way to cold plateau 3</t>
  </si>
  <si>
    <t>094524 and 095625 were AC images with different exposure times (250ms vs 2000ms)</t>
  </si>
  <si>
    <t>forgot to record the RM3 values for putting measurement beam at 808,602</t>
  </si>
  <si>
    <t>100143 image is infinity focus with leica measure beam on (and primary LED because why not)
100649 is sMATF focus with leica measurement beam
sMATF_mirror_range_initial.txt (~10 um stdev)
sMATF_mirror_range_final_2.txt (~3 um stdev) for repeatability</t>
  </si>
  <si>
    <t>this RM3 puts the measurement beam at roughly 808,602 and gets us good return</t>
  </si>
  <si>
    <t>sMATF_mirror_range_final_3.txt (~5 um stdev)</t>
  </si>
  <si>
    <t>taking repeated AC and centroid measurements to hopefully see drift settle</t>
  </si>
  <si>
    <t>PATA mirror AC</t>
  </si>
  <si>
    <t>Adjusted Rx,Ry to center measurement beam on camera center</t>
  </si>
  <si>
    <t>did not see return</t>
  </si>
  <si>
    <t>na</t>
  </si>
  <si>
    <t>Could not get any laser signal or even any image on camera</t>
  </si>
  <si>
    <t>Moved RM3A 3um to improve signal</t>
  </si>
  <si>
    <t>Standard deviation = 18um</t>
  </si>
  <si>
    <t>Moved mirror 2um x,y no signal change, stdev better 5um</t>
  </si>
  <si>
    <t>Used Rx,Ry from this for other PATB measurements</t>
  </si>
  <si>
    <t>Adjusted Rx,Ry to peak range signal. Tried to use Rx,Ry from mirror range, but resulted in out of tolerance autocol</t>
  </si>
  <si>
    <t>Rehomed RM3</t>
  </si>
  <si>
    <t>(no Rx Ry adj)</t>
  </si>
  <si>
    <t>(no x,y adj)</t>
  </si>
  <si>
    <t>End of test positions</t>
  </si>
  <si>
    <t>Post CP3 at warm measurements</t>
  </si>
  <si>
    <t>PATB retro pri, rm3 slightly diferent from sMATF</t>
  </si>
  <si>
    <t>repeatability on sMATF measurements</t>
  </si>
  <si>
    <t>Turn off FARM and the RM power supply to avoid overheating</t>
  </si>
  <si>
    <t>should be the same as this morning, had to power off RM controller due to thermal concerns</t>
  </si>
  <si>
    <t>post ambient/vacuum FDPR ADM check</t>
  </si>
  <si>
    <t>Rx</t>
  </si>
  <si>
    <t>Ry</t>
  </si>
  <si>
    <t>sMATF flat mirror</t>
  </si>
  <si>
    <t>PATB flat mirror</t>
  </si>
  <si>
    <t>PATB Redundant LED</t>
  </si>
  <si>
    <t>PATB redundant retro</t>
  </si>
  <si>
    <t xml:space="preserve"> PATB primary retro</t>
  </si>
  <si>
    <t>PATA flat mirror</t>
  </si>
  <si>
    <t>PATA primary retro</t>
  </si>
  <si>
    <t xml:space="preserve"> PATA redundant retro</t>
  </si>
  <si>
    <t>PATA redundant LED</t>
  </si>
  <si>
    <t>PATA Mirror</t>
  </si>
  <si>
    <t>PATA  Primary LED</t>
  </si>
  <si>
    <t>PATA  Primary Retro</t>
  </si>
  <si>
    <t>PATA  redantant Retro</t>
  </si>
  <si>
    <t>PATB  Primary LED</t>
  </si>
  <si>
    <t>PATB  Primary Retro</t>
  </si>
  <si>
    <t xml:space="preserve">PATB redundant LED </t>
  </si>
  <si>
    <t>sMATF mirror (H2)</t>
  </si>
  <si>
    <t xml:space="preserve"> sMATF retro (H2)</t>
  </si>
  <si>
    <t xml:space="preserve">PATB mirror </t>
  </si>
  <si>
    <t>Average sMATF mirror Az/El since 1/25 (deg):</t>
  </si>
  <si>
    <t>std. dev (arcsec)</t>
  </si>
  <si>
    <t>Average sMATF LED X/Y since 1/25 (pixels)</t>
  </si>
  <si>
    <t>std. dev (pix)</t>
  </si>
  <si>
    <t>Average sMATF retro range since 1/25 (m)</t>
  </si>
  <si>
    <t>std. dev (microns)</t>
  </si>
  <si>
    <t>Average PATB mirror Az/El since 1/25 (deg):</t>
  </si>
  <si>
    <t>2/1 AC EL data removed; it seems to be an outlier. Missing negative sign, perhaps?</t>
  </si>
  <si>
    <t>Average PATB LED X/Y since 1/25 (pixels)</t>
  </si>
  <si>
    <t>Average PATB retro range since 1/25 (m)</t>
  </si>
  <si>
    <t>Average sMATF Az/El since 1/25 (deg) (H2):</t>
  </si>
  <si>
    <t>Average sMATF X/Y since 1/25 (pixels) (H2)</t>
  </si>
  <si>
    <t>Average sMATF range since 1/25 (m) (H2)</t>
  </si>
  <si>
    <t>Average sMATF Az/El since 1/25 (deg) (Stow):</t>
  </si>
  <si>
    <t>Deltas from H2 mean (arcsec):</t>
  </si>
  <si>
    <t>Average sMATF X/Y since 1/25 (pixels) (Stow)</t>
  </si>
  <si>
    <t>Deltas from H2 mean (pixels):</t>
  </si>
  <si>
    <t>Average sMATF range since 1/25 (m) (Stow)</t>
  </si>
  <si>
    <t>Delta from H2 mean (um):</t>
  </si>
  <si>
    <t>RX</t>
  </si>
  <si>
    <t>RY</t>
  </si>
  <si>
    <t>AZ</t>
  </si>
  <si>
    <t>EL</t>
  </si>
  <si>
    <t>d AZ</t>
  </si>
  <si>
    <t>d EL</t>
  </si>
  <si>
    <t>Item</t>
  </si>
  <si>
    <t>1~2 sec current draw</t>
  </si>
  <si>
    <t>diable/enable</t>
  </si>
  <si>
    <t>Steps to get an Autocollimation image measurement if you can't use the 'autocollimate' button</t>
  </si>
  <si>
    <t>1) save a .fits image by right clicking the image and choosing .fits</t>
  </si>
  <si>
    <t xml:space="preserve">2) from a command prompt type: </t>
  </si>
  <si>
    <t xml:space="preserve">a) 'convert ' (that's a space after the convert) </t>
  </si>
  <si>
    <t>b) then drag the newly created .fits image from the windows browser (C:\OSIM_TEST_DATA …) to the command line to auto fill it's path</t>
  </si>
  <si>
    <t>c) then type ' -rotate 90 ' (those are spaces before the -rotate and after the 90)</t>
  </si>
  <si>
    <t>d) then drag the same .fits filename from the windows browser into the command line</t>
  </si>
  <si>
    <t>e) you should see something like: "C:\Documents and Settings\osw_dev&gt;convert C:\OSIM_TEST_DATA\ADM_yyyymmddHHMMSS.fits -rotate 90 C:\OSIM_TEST_DATA\ADM_yyyymmddHHMMSS.fits"</t>
  </si>
  <si>
    <t>f) hit 'enter' which will rotate the fits image 90 degrees</t>
  </si>
  <si>
    <t>3) again from the command prompt type:</t>
  </si>
  <si>
    <t>a) 'convert  C:\OSIM_TEST_DATA\ADM_yyyymmddHHMMSS.fits  C:\OSIM_TEST_DATA\ADM_yyyymmddHHMMSS.bmp' (you can drag and drop the filename from the browser again, just change it to .bmp in the second one)</t>
  </si>
  <si>
    <t>b) hit 'enter' which will create a .bmp from the rotated .fits image</t>
  </si>
  <si>
    <t>4) copy the newly created .bmp and paste it into C:\OSIM\abmc\autocollimate</t>
  </si>
  <si>
    <t>5) open the file 'atac.ini' found in C:\OSIM\abmc\autocollimate</t>
  </si>
  <si>
    <t>6) replace the currently listed .bmp with the new one you just created (should be the same path, just change the .bmp file name)</t>
  </si>
  <si>
    <t>7) Open the folder 'C:\OSIM\bin' and double click 'OSIM ADM AT Image Processor.exe' (or if it's already running that's OK too)</t>
  </si>
  <si>
    <t>8) hit the big green "NEW ATAC IMAGE" button at the top left (when you do it should now list your created .bmp just to the right of the button and it should also now be shown in the image display</t>
  </si>
  <si>
    <t>9) Using the left/right and up/down errors near the bottom left of the program, position the yellow cross hairs in the zoomed image such that they line up with the horizontal and vertical lines somewhere in the image where the code bits are nice and bright</t>
  </si>
  <si>
    <t>10) Using the mouse, left click in the zoomed image in the vertical row of columns that have MATCHING code bit values (so the code bit pattern should be repeating in that vertical column)</t>
  </si>
  <si>
    <t>11) Toward the bottom right of the program, click the little code bit check mark buttons until the red markers match up with the bright code bits in BOTH cells</t>
  </si>
  <si>
    <t>12) Hit the 'decode' button and you'll have your Az and El measurement</t>
  </si>
  <si>
    <t>Some directionality notes:</t>
  </si>
  <si>
    <t>RM</t>
  </si>
  <si>
    <t>Focus</t>
  </si>
  <si>
    <t>result</t>
  </si>
  <si>
    <t>1A</t>
  </si>
  <si>
    <t>increase to move code bit image UP</t>
  </si>
  <si>
    <t>1B</t>
  </si>
  <si>
    <t>increase to move code bit image RIGHT</t>
  </si>
  <si>
    <t>2A</t>
  </si>
  <si>
    <t>increase to move code bit image LEFT</t>
  </si>
  <si>
    <t>2B</t>
  </si>
  <si>
    <t>increase to move code bit image DOWN</t>
  </si>
  <si>
    <t>increase to move autocollimation elevation NEGATIVE</t>
  </si>
  <si>
    <t>sMATF RM Nulling</t>
  </si>
  <si>
    <t>RM1( with rough-in formula, so the LED will stay near the center after big RM2 overcorrections)</t>
  </si>
  <si>
    <t>Do not change these!</t>
  </si>
  <si>
    <t>&gt;&gt;</t>
  </si>
  <si>
    <t>RM1a/pix</t>
  </si>
  <si>
    <t>RM1b/pix</t>
  </si>
  <si>
    <t>Pete's RM1:</t>
  </si>
  <si>
    <t>Mark's RM1:</t>
  </si>
  <si>
    <t>PATB/A RxRy Tuner</t>
  </si>
  <si>
    <t>Use when at PATB &amp; PATA positions</t>
  </si>
  <si>
    <t>Az Err</t>
  </si>
  <si>
    <t>El Err</t>
  </si>
  <si>
    <t>Update references in orange cells above, and set Target to post settle sMATF value</t>
  </si>
  <si>
    <t>PATB/A dXdY Tuner</t>
  </si>
  <si>
    <t>Px Err</t>
  </si>
  <si>
    <t>Py Err</t>
  </si>
  <si>
    <r>
      <t xml:space="preserve">1. RxRy columns have pulling-down formula to calculate desired positions from the Az/El measurement &amp; target in the above row. The equations use the rotational transformation of a rotational angle. </t>
    </r>
    <r>
      <rPr>
        <sz val="10"/>
        <color rgb="FFFF0000"/>
        <rFont val="Calibri"/>
        <family val="2"/>
      </rPr>
      <t>Do not arbitrarily change the angle. You may add new rows. Do not change or erase the equations above your rows.</t>
    </r>
  </si>
  <si>
    <t>X</t>
  </si>
  <si>
    <t>PixX</t>
  </si>
  <si>
    <t>PixY</t>
  </si>
  <si>
    <t>TargX</t>
  </si>
  <si>
    <t>TargY</t>
  </si>
  <si>
    <t>RM2 calc move</t>
  </si>
  <si>
    <t>RM1 calc move</t>
  </si>
  <si>
    <t>Hand Move</t>
  </si>
  <si>
    <t>ADM software shortcuts</t>
  </si>
  <si>
    <t>F2</t>
  </si>
  <si>
    <t>Camera On/Off</t>
  </si>
  <si>
    <t>F3</t>
  </si>
  <si>
    <t>Grab aka "Live"</t>
  </si>
  <si>
    <t>F4</t>
  </si>
  <si>
    <t>Save FITS</t>
  </si>
  <si>
    <t>F5</t>
  </si>
  <si>
    <t>Set focus to Exposure on video tab</t>
  </si>
  <si>
    <t>F6</t>
  </si>
  <si>
    <t>Crosshair overlay</t>
  </si>
  <si>
    <t>F7</t>
  </si>
  <si>
    <t>Spot measure</t>
  </si>
  <si>
    <t>F8</t>
  </si>
  <si>
    <t>ACQuire Image (F2,F3,F4,F2)</t>
  </si>
  <si>
    <t>F9</t>
  </si>
  <si>
    <t>AC LED1 On/Off</t>
  </si>
  <si>
    <t>F10</t>
  </si>
  <si>
    <t>AC LED2 On/Off</t>
  </si>
  <si>
    <t>F11</t>
  </si>
  <si>
    <t>AutoCol measure</t>
  </si>
  <si>
    <t>F12</t>
  </si>
  <si>
    <t>LDM Power On/Off</t>
  </si>
  <si>
    <t>F8,F7</t>
  </si>
  <si>
    <t>To Acquire Image of Pinole or LED, and then measure Spot Centroid</t>
  </si>
  <si>
    <t>F9,F10,F8,F9,F10,F11</t>
  </si>
  <si>
    <t>To Acquire bit image and then measure auto collimation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</si>
</sst>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164" formatCode="0.000"/>
    <numFmt numFmtId="165" formatCode="0.0000"/>
    <numFmt numFmtId="166" formatCode="#,##0.00000"/>
    <numFmt numFmtId="167" formatCode="0.0"/>
    <numFmt numFmtId="168" formatCode="#,##0.0000"/>
    <numFmt numFmtId="169" formatCode="0.000000"/>
    <numFmt numFmtId="170" formatCode="h:mm;@"/>
    <numFmt numFmtId="171" formatCode="#,##0.0"/>
    <numFmt numFmtId="172" formatCode="0.0E+00"/>
  </numFmts>
  <fonts count="76">
    <font>
      <sz val="11"/>
      <color theme="1"/>
      <name val="Calibri"/>
      <family val="2"/>
      <scheme val="minor"/>
    </font>
    <font>
      <sz val="8"/>
      <name val="Calibri"/>
      <family val="2"/>
      <scheme val="minor"/>
    </font>
    <font>
      <b/>
      <sz val="11"/>
      <color theme="1"/>
      <name val="Calibri"/>
      <family val="2"/>
      <scheme val="minor"/>
    </font>
    <font>
      <sz val="8"/>
      <color theme="1"/>
      <name val="Calibri"/>
      <family val="2"/>
      <scheme val="minor"/>
    </font>
    <font>
      <sz val="6"/>
      <color theme="1"/>
      <name val="Calibri"/>
      <family val="2"/>
      <scheme val="minor"/>
    </font>
    <font>
      <sz val="8"/>
      <color rgb="FFFFFFFF"/>
      <name val="Calibri"/>
      <family val="2"/>
      <scheme val="minor"/>
    </font>
    <font>
      <sz val="8"/>
      <color rgb="FFFF0000"/>
      <name val="Calibri"/>
      <family val="2"/>
      <scheme val="minor"/>
    </font>
    <font>
      <sz val="10"/>
      <color theme="1"/>
      <name val="Calibri"/>
      <family val="2"/>
      <scheme val="minor"/>
    </font>
    <font>
      <sz val="11"/>
      <color rgb="FFFF0000"/>
      <name val="Calibri"/>
      <family val="2"/>
      <scheme val="minor"/>
    </font>
    <font>
      <sz val="8"/>
      <color rgb="FF000000"/>
      <name val="Calibri"/>
      <family val="2"/>
      <scheme val="minor"/>
    </font>
    <font>
      <sz val="11"/>
      <color rgb="FF000000"/>
      <name val="Calibri"/>
      <family val="2"/>
      <scheme val="minor"/>
    </font>
    <font>
      <b/>
      <sz val="8"/>
      <color theme="1"/>
      <name val="Calibri"/>
      <family val="2"/>
      <scheme val="minor"/>
    </font>
    <font>
      <sz val="11"/>
      <color rgb="FF000000"/>
      <name val="Calibri"/>
      <family val="2"/>
    </font>
    <font>
      <sz val="9"/>
      <color theme="1"/>
      <name val="Calibri"/>
      <family val="2"/>
      <scheme val="minor"/>
    </font>
    <font>
      <b/>
      <sz val="9"/>
      <color theme="1"/>
      <name val="Calibri"/>
      <family val="2"/>
      <scheme val="minor"/>
    </font>
    <font>
      <b/>
      <sz val="12"/>
      <color rgb="FF000000"/>
      <name val="Calibri"/>
      <family val="2"/>
    </font>
    <font>
      <sz val="14"/>
      <color rgb="FF000000"/>
      <name val="Calibri"/>
      <family val="2"/>
    </font>
    <font>
      <b/>
      <sz val="14"/>
      <color rgb="FFFF0000"/>
      <name val="Calibri"/>
      <family val="2"/>
    </font>
    <font>
      <sz val="11"/>
      <color rgb="FF444444"/>
      <name val="Calibri"/>
      <family val="2"/>
      <charset val="1"/>
    </font>
    <font>
      <sz val="14"/>
      <color rgb="FFFF0000"/>
      <name val="Calibri"/>
      <family val="2"/>
    </font>
    <font>
      <sz val="11"/>
      <color rgb="FFFF0000"/>
      <name val="Calibri"/>
      <family val="2"/>
    </font>
    <font>
      <sz val="8"/>
      <color rgb="FF000000"/>
      <name val="Calibri"/>
      <family val="2"/>
    </font>
    <font>
      <sz val="8"/>
      <color rgb="FFFF0000"/>
      <name val="Calibri"/>
      <family val="2"/>
    </font>
    <font>
      <sz val="8"/>
      <color theme="1"/>
      <name val="Calibri"/>
      <family val="2"/>
    </font>
    <font>
      <b/>
      <sz val="10"/>
      <color theme="1"/>
      <name val="Calibri"/>
      <family val="2"/>
      <scheme val="minor"/>
    </font>
    <font>
      <b/>
      <sz val="10"/>
      <color theme="1"/>
      <name val="Calibri"/>
      <family val="2"/>
    </font>
    <font>
      <b/>
      <sz val="16"/>
      <color theme="1"/>
      <name val="Calibri"/>
      <family val="2"/>
      <scheme val="minor"/>
    </font>
    <font>
      <sz val="9"/>
      <color rgb="FF000000"/>
      <name val="Calibri"/>
      <family val="2"/>
    </font>
    <font>
      <i/>
      <sz val="8"/>
      <color theme="1"/>
      <name val="Calibri"/>
      <family val="2"/>
      <scheme val="minor"/>
    </font>
    <font>
      <b/>
      <sz val="12"/>
      <color theme="1"/>
      <name val="Calibri"/>
      <family val="2"/>
      <scheme val="minor"/>
    </font>
    <font>
      <sz val="12"/>
      <color theme="1"/>
      <name val="Calibri"/>
      <family val="2"/>
      <scheme val="minor"/>
    </font>
    <font>
      <sz val="12"/>
      <color rgb="FFFF0000"/>
      <name val="Calibri"/>
      <family val="2"/>
      <scheme val="minor"/>
    </font>
    <font>
      <b/>
      <sz val="18"/>
      <color theme="1"/>
      <name val="Calibri"/>
      <family val="2"/>
      <scheme val="minor"/>
    </font>
    <font>
      <sz val="12"/>
      <name val="Calibri"/>
      <family val="2"/>
      <scheme val="minor"/>
    </font>
    <font>
      <b/>
      <sz val="12"/>
      <color rgb="FFFF0000"/>
      <name val="Calibri"/>
      <family val="2"/>
      <scheme val="minor"/>
    </font>
    <font>
      <i/>
      <sz val="12"/>
      <color theme="1"/>
      <name val="Calibri"/>
      <family val="2"/>
      <scheme val="minor"/>
    </font>
    <font>
      <strike/>
      <sz val="12"/>
      <color theme="1"/>
      <name val="Calibri"/>
      <family val="2"/>
      <scheme val="minor"/>
    </font>
    <font>
      <strike/>
      <sz val="11"/>
      <color theme="1"/>
      <name val="Calibri"/>
      <family val="2"/>
      <scheme val="minor"/>
    </font>
    <font>
      <sz val="12"/>
      <color rgb="FF000000"/>
      <name val="Calibri"/>
      <family val="2"/>
    </font>
    <font>
      <i/>
      <sz val="12"/>
      <color rgb="FF000000"/>
      <name val="Calibri"/>
      <family val="2"/>
    </font>
    <font>
      <i/>
      <sz val="10"/>
      <color rgb="FF8EA9DB"/>
      <name val="Calibri"/>
      <family val="2"/>
      <scheme val="minor"/>
    </font>
    <font>
      <i/>
      <sz val="9"/>
      <color rgb="FF4472C4"/>
      <name val="Calibri"/>
      <family val="2"/>
      <scheme val="minor"/>
    </font>
    <font>
      <sz val="9"/>
      <color rgb="FF0070C0"/>
      <name val="Calibri"/>
      <family val="2"/>
      <scheme val="minor"/>
    </font>
    <font>
      <b/>
      <i/>
      <sz val="9"/>
      <color rgb="FF4472C4"/>
      <name val="Calibri"/>
      <family val="2"/>
      <scheme val="minor"/>
    </font>
    <font>
      <b/>
      <i/>
      <sz val="9"/>
      <color rgb="FF5B9BD5"/>
      <name val="Calibri"/>
      <family val="2"/>
      <scheme val="minor"/>
    </font>
    <font>
      <b/>
      <i/>
      <u/>
      <sz val="12"/>
      <color theme="1"/>
      <name val="Calibri"/>
      <family val="2"/>
      <scheme val="minor"/>
    </font>
    <font>
      <i/>
      <sz val="12"/>
      <color rgb="FF000000"/>
      <name val="Calibri"/>
      <family val="2"/>
      <scheme val="minor"/>
    </font>
    <font>
      <i/>
      <sz val="9"/>
      <color rgb="FF5B9BD5"/>
      <name val="Calibri"/>
      <family val="2"/>
      <scheme val="minor"/>
    </font>
    <font>
      <b/>
      <i/>
      <sz val="12"/>
      <color theme="1"/>
      <name val="Calibri"/>
      <family val="2"/>
      <scheme val="minor"/>
    </font>
    <font>
      <b/>
      <u/>
      <sz val="12"/>
      <color rgb="FF000000"/>
      <name val="Calibri"/>
      <family val="2"/>
      <scheme val="minor"/>
    </font>
    <font>
      <u/>
      <sz val="12"/>
      <color rgb="FF000000"/>
      <name val="Calibri"/>
      <family val="2"/>
      <scheme val="minor"/>
    </font>
    <font>
      <u/>
      <sz val="12"/>
      <color theme="1"/>
      <name val="Calibri"/>
      <family val="2"/>
      <scheme val="minor"/>
    </font>
    <font>
      <u/>
      <sz val="9"/>
      <color rgb="FF0070C0"/>
      <name val="Calibri"/>
      <family val="2"/>
      <scheme val="minor"/>
    </font>
    <font>
      <i/>
      <sz val="12"/>
      <color rgb="FF5B9BD5"/>
      <name val="Calibri"/>
      <family val="2"/>
      <scheme val="minor"/>
    </font>
    <font>
      <sz val="12"/>
      <color rgb="FF000000"/>
      <name val="Calibri"/>
      <family val="2"/>
      <scheme val="minor"/>
    </font>
    <font>
      <b/>
      <sz val="16"/>
      <color rgb="FFFF0000"/>
      <name val="Calibri"/>
      <family val="2"/>
      <scheme val="minor"/>
    </font>
    <font>
      <sz val="11"/>
      <color rgb="FF9C5700"/>
      <name val="Calibri"/>
      <family val="2"/>
      <scheme val="minor"/>
    </font>
    <font>
      <b/>
      <u/>
      <sz val="11"/>
      <color rgb="FFFF0000"/>
      <name val="Calibri"/>
      <family val="2"/>
    </font>
    <font>
      <b/>
      <sz val="14"/>
      <color theme="1"/>
      <name val="Calibri"/>
      <family val="2"/>
      <scheme val="minor"/>
    </font>
    <font>
      <i/>
      <sz val="9"/>
      <color theme="1"/>
      <name val="Calibri"/>
      <family val="2"/>
      <scheme val="minor"/>
    </font>
    <font>
      <sz val="10"/>
      <color rgb="FF5B9BD5"/>
      <name val="Calibri"/>
      <family val="2"/>
      <scheme val="minor"/>
    </font>
    <font>
      <sz val="11"/>
      <color rgb="FF9C0006"/>
      <name val="Calibri"/>
      <family val="2"/>
      <scheme val="minor"/>
    </font>
    <font>
      <sz val="11"/>
      <color rgb="FF3F3F76"/>
      <name val="Calibri"/>
      <family val="2"/>
      <scheme val="minor"/>
    </font>
    <font>
      <b/>
      <sz val="11"/>
      <color rgb="FF000000"/>
      <name val="Calibri"/>
      <family val="2"/>
    </font>
    <font>
      <b/>
      <u/>
      <sz val="14"/>
      <color rgb="FF000000"/>
      <name val="Calibri"/>
      <family val="2"/>
    </font>
    <font>
      <sz val="10"/>
      <color rgb="FFFF0000"/>
      <name val="Calibri"/>
      <family val="2"/>
    </font>
    <font>
      <sz val="10"/>
      <color rgb="FF000000"/>
      <name val="Calibri"/>
      <family val="2"/>
    </font>
    <font>
      <i/>
      <sz val="11"/>
      <color theme="1"/>
      <name val="Calibri"/>
      <family val="2"/>
      <scheme val="minor"/>
    </font>
    <font>
      <i/>
      <sz val="10"/>
      <color rgb="FF000000"/>
      <name val="Calibri"/>
      <family val="2"/>
    </font>
    <font>
      <b/>
      <sz val="20"/>
      <color theme="1"/>
      <name val="Calibri"/>
      <family val="2"/>
      <scheme val="minor"/>
    </font>
    <font>
      <sz val="10"/>
      <color theme="8"/>
      <name val="Calibri"/>
      <family val="2"/>
      <scheme val="minor"/>
    </font>
    <font>
      <i/>
      <sz val="9"/>
      <color theme="5"/>
      <name val="Calibri"/>
      <family val="2"/>
    </font>
    <font>
      <i/>
      <sz val="9"/>
      <color rgb="FF000000"/>
      <name val="Calibri"/>
      <family val="2"/>
    </font>
    <font>
      <sz val="10"/>
      <color rgb="FFED7D31"/>
      <name val="Calibri"/>
      <family val="2"/>
      <scheme val="minor"/>
    </font>
    <font>
      <i/>
      <sz val="10"/>
      <color rgb="FF5B9BD5"/>
      <name val="Calibri"/>
      <family val="2"/>
      <scheme val="minor"/>
    </font>
    <font>
      <sz val="11"/>
      <color rgb="FF000000"/>
      <name val="Calibri"/>
    </font>
  </fonts>
  <fills count="37">
    <fill>
      <patternFill patternType="none"/>
    </fill>
    <fill>
      <patternFill patternType="gray125"/>
    </fill>
    <fill>
      <patternFill patternType="solid">
        <fgColor rgb="FFFFC000"/>
        <bgColor indexed="64"/>
      </patternFill>
    </fill>
    <fill>
      <patternFill patternType="solid">
        <fgColor theme="9" tint="0.39997558519241921"/>
        <bgColor indexed="64"/>
      </patternFill>
    </fill>
    <fill>
      <patternFill patternType="solid">
        <fgColor theme="7" tint="0.39997558519241921"/>
        <bgColor indexed="64"/>
      </patternFill>
    </fill>
    <fill>
      <patternFill patternType="solid">
        <fgColor rgb="FFFFFF00"/>
        <bgColor indexed="64"/>
      </patternFill>
    </fill>
    <fill>
      <patternFill patternType="solid">
        <fgColor rgb="FF292929"/>
        <bgColor indexed="64"/>
      </patternFill>
    </fill>
    <fill>
      <patternFill patternType="solid">
        <fgColor theme="9" tint="0.79998168889431442"/>
        <bgColor indexed="64"/>
      </patternFill>
    </fill>
    <fill>
      <patternFill patternType="solid">
        <fgColor theme="8" tint="0.39997558519241921"/>
        <bgColor indexed="64"/>
      </patternFill>
    </fill>
    <fill>
      <patternFill patternType="solid">
        <fgColor rgb="FFFFFFFF"/>
        <bgColor rgb="FF000000"/>
      </patternFill>
    </fill>
    <fill>
      <patternFill patternType="solid">
        <fgColor theme="9" tint="0.59999389629810485"/>
        <bgColor indexed="64"/>
      </patternFill>
    </fill>
    <fill>
      <patternFill patternType="solid">
        <fgColor theme="4" tint="0.59999389629810485"/>
        <bgColor indexed="64"/>
      </patternFill>
    </fill>
    <fill>
      <patternFill patternType="solid">
        <fgColor theme="8" tint="0.59999389629810485"/>
        <bgColor indexed="64"/>
      </patternFill>
    </fill>
    <fill>
      <patternFill patternType="solid">
        <fgColor theme="5" tint="0.79998168889431442"/>
        <bgColor indexed="64"/>
      </patternFill>
    </fill>
    <fill>
      <patternFill patternType="solid">
        <fgColor rgb="FFFFCCCC"/>
        <bgColor indexed="64"/>
      </patternFill>
    </fill>
    <fill>
      <patternFill patternType="solid">
        <fgColor rgb="FF8EA9DB"/>
        <bgColor indexed="64"/>
      </patternFill>
    </fill>
    <fill>
      <patternFill patternType="solid">
        <fgColor rgb="FFDBDBDB"/>
        <bgColor indexed="64"/>
      </patternFill>
    </fill>
    <fill>
      <patternFill patternType="solid">
        <fgColor rgb="FFFFE699"/>
        <bgColor indexed="64"/>
      </patternFill>
    </fill>
    <fill>
      <patternFill patternType="solid">
        <fgColor rgb="FFC6E0B4"/>
        <bgColor indexed="64"/>
      </patternFill>
    </fill>
    <fill>
      <patternFill patternType="solid">
        <fgColor rgb="FF92D050"/>
        <bgColor indexed="64"/>
      </patternFill>
    </fill>
    <fill>
      <patternFill patternType="solid">
        <fgColor rgb="FFBDD7EE"/>
        <bgColor indexed="64"/>
      </patternFill>
    </fill>
    <fill>
      <patternFill patternType="solid">
        <fgColor rgb="FFC6E0B4"/>
        <bgColor rgb="FF000000"/>
      </patternFill>
    </fill>
    <fill>
      <patternFill patternType="solid">
        <fgColor rgb="FFB4C6E7"/>
        <bgColor rgb="FF000000"/>
      </patternFill>
    </fill>
    <fill>
      <patternFill patternType="solid">
        <fgColor rgb="FFB4C6E7"/>
        <bgColor indexed="64"/>
      </patternFill>
    </fill>
    <fill>
      <patternFill patternType="solid">
        <fgColor theme="7" tint="0.59999389629810485"/>
        <bgColor indexed="64"/>
      </patternFill>
    </fill>
    <fill>
      <patternFill patternType="solid">
        <fgColor rgb="FFFF0000"/>
        <bgColor indexed="64"/>
      </patternFill>
    </fill>
    <fill>
      <patternFill patternType="solid">
        <fgColor rgb="FFD9E1F2"/>
        <bgColor indexed="64"/>
      </patternFill>
    </fill>
    <fill>
      <patternFill patternType="solid">
        <fgColor rgb="FFE2EFDA"/>
        <bgColor indexed="64"/>
      </patternFill>
    </fill>
    <fill>
      <patternFill patternType="solid">
        <fgColor theme="0" tint="-4.9989318521683403E-2"/>
        <bgColor indexed="64"/>
      </patternFill>
    </fill>
    <fill>
      <patternFill patternType="solid">
        <fgColor rgb="FFFCE4D6"/>
        <bgColor indexed="64"/>
      </patternFill>
    </fill>
    <fill>
      <patternFill patternType="solid">
        <fgColor rgb="FFFCE4D6"/>
        <bgColor rgb="FF000000"/>
      </patternFill>
    </fill>
    <fill>
      <patternFill patternType="solid">
        <fgColor rgb="FFFFFFFF"/>
        <bgColor indexed="64"/>
      </patternFill>
    </fill>
    <fill>
      <patternFill patternType="solid">
        <fgColor rgb="FFFFEB9C"/>
      </patternFill>
    </fill>
    <fill>
      <patternFill patternType="solid">
        <fgColor rgb="FFFFC7CE"/>
      </patternFill>
    </fill>
    <fill>
      <patternFill patternType="solid">
        <fgColor rgb="FFFFCC99"/>
      </patternFill>
    </fill>
    <fill>
      <patternFill patternType="solid">
        <fgColor rgb="FFDDEBF7"/>
        <bgColor indexed="64"/>
      </patternFill>
    </fill>
    <fill>
      <patternFill patternType="solid">
        <fgColor rgb="FFEFDAF0"/>
        <bgColor indexed="64"/>
      </patternFill>
    </fill>
  </fills>
  <borders count="82">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bottom style="thin">
        <color indexed="64"/>
      </bottom>
      <diagonal/>
    </border>
    <border>
      <left/>
      <right style="medium">
        <color rgb="FF000000"/>
      </right>
      <top style="medium">
        <color indexed="64"/>
      </top>
      <bottom/>
      <diagonal/>
    </border>
    <border>
      <left/>
      <right style="thin">
        <color indexed="64"/>
      </right>
      <top/>
      <bottom style="thin">
        <color indexed="64"/>
      </bottom>
      <diagonal/>
    </border>
    <border>
      <left/>
      <right style="medium">
        <color rgb="FF000000"/>
      </right>
      <top/>
      <bottom style="medium">
        <color indexed="64"/>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style="thin">
        <color indexed="64"/>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style="thin">
        <color indexed="64"/>
      </right>
      <top/>
      <bottom/>
      <diagonal/>
    </border>
    <border>
      <left style="thin">
        <color indexed="64"/>
      </left>
      <right/>
      <top/>
      <bottom/>
      <diagonal/>
    </border>
    <border>
      <left style="thin">
        <color rgb="FF000000"/>
      </left>
      <right style="thin">
        <color rgb="FF000000"/>
      </right>
      <top style="thin">
        <color rgb="FF000000"/>
      </top>
      <bottom style="medium">
        <color indexed="64"/>
      </bottom>
      <diagonal/>
    </border>
    <border>
      <left style="thin">
        <color rgb="FF000000"/>
      </left>
      <right style="thin">
        <color indexed="64"/>
      </right>
      <top style="thin">
        <color rgb="FF000000"/>
      </top>
      <bottom style="medium">
        <color indexed="64"/>
      </bottom>
      <diagonal/>
    </border>
    <border>
      <left style="thin">
        <color indexed="64"/>
      </left>
      <right/>
      <top style="thin">
        <color rgb="FF000000"/>
      </top>
      <bottom style="medium">
        <color indexed="64"/>
      </bottom>
      <diagonal/>
    </border>
    <border>
      <left/>
      <right style="thin">
        <color indexed="64"/>
      </right>
      <top style="thin">
        <color rgb="FF000000"/>
      </top>
      <bottom style="medium">
        <color indexed="64"/>
      </bottom>
      <diagonal/>
    </border>
    <border>
      <left style="thin">
        <color rgb="FF000000"/>
      </left>
      <right/>
      <top style="thin">
        <color rgb="FF000000"/>
      </top>
      <bottom style="medium">
        <color indexed="64"/>
      </bottom>
      <diagonal/>
    </border>
    <border>
      <left/>
      <right style="thin">
        <color rgb="FF000000"/>
      </right>
      <top style="thin">
        <color rgb="FF000000"/>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top/>
      <bottom style="thin">
        <color indexed="64"/>
      </bottom>
      <diagonal/>
    </border>
    <border>
      <left style="thin">
        <color indexed="64"/>
      </left>
      <right/>
      <top/>
      <bottom style="thin">
        <color indexed="64"/>
      </bottom>
      <diagonal/>
    </border>
    <border>
      <left/>
      <right/>
      <top/>
      <bottom style="medium">
        <color rgb="FF000000"/>
      </bottom>
      <diagonal/>
    </border>
    <border>
      <left/>
      <right style="thin">
        <color indexed="64"/>
      </right>
      <top/>
      <bottom style="medium">
        <color rgb="FF000000"/>
      </bottom>
      <diagonal/>
    </border>
    <border>
      <left style="thin">
        <color indexed="64"/>
      </left>
      <right/>
      <top/>
      <bottom style="medium">
        <color rgb="FF000000"/>
      </bottom>
      <diagonal/>
    </border>
    <border>
      <left/>
      <right style="thin">
        <color rgb="FF000000"/>
      </right>
      <top/>
      <bottom style="medium">
        <color indexed="64"/>
      </bottom>
      <diagonal/>
    </border>
    <border>
      <left style="thin">
        <color rgb="FF000000"/>
      </left>
      <right style="double">
        <color rgb="FF000000"/>
      </right>
      <top style="thin">
        <color rgb="FF000000"/>
      </top>
      <bottom style="medium">
        <color indexed="64"/>
      </bottom>
      <diagonal/>
    </border>
    <border>
      <left/>
      <right style="double">
        <color rgb="FF000000"/>
      </right>
      <top/>
      <bottom/>
      <diagonal/>
    </border>
    <border>
      <left/>
      <right style="double">
        <color rgb="FF000000"/>
      </right>
      <top style="medium">
        <color indexed="64"/>
      </top>
      <bottom style="medium">
        <color indexed="64"/>
      </bottom>
      <diagonal/>
    </border>
    <border>
      <left/>
      <right style="double">
        <color rgb="FF000000"/>
      </right>
      <top/>
      <bottom style="thin">
        <color indexed="64"/>
      </bottom>
      <diagonal/>
    </border>
    <border>
      <left/>
      <right style="double">
        <color rgb="FF000000"/>
      </right>
      <top/>
      <bottom style="medium">
        <color indexed="64"/>
      </bottom>
      <diagonal/>
    </border>
    <border>
      <left/>
      <right style="double">
        <color rgb="FF000000"/>
      </right>
      <top/>
      <bottom style="medium">
        <color rgb="FF000000"/>
      </bottom>
      <diagonal/>
    </border>
    <border>
      <left style="thin">
        <color indexed="64"/>
      </left>
      <right style="thin">
        <color rgb="FF000000"/>
      </right>
      <top style="thin">
        <color rgb="FF000000"/>
      </top>
      <bottom style="thin">
        <color rgb="FF000000"/>
      </bottom>
      <diagonal/>
    </border>
    <border>
      <left style="thin">
        <color rgb="FF000000"/>
      </left>
      <right style="thin">
        <color indexed="64"/>
      </right>
      <top style="thin">
        <color rgb="FF000000"/>
      </top>
      <bottom style="thin">
        <color rgb="FF000000"/>
      </bottom>
      <diagonal/>
    </border>
    <border>
      <left style="thin">
        <color rgb="FF7F7F7F"/>
      </left>
      <right style="thin">
        <color rgb="FF7F7F7F"/>
      </right>
      <top style="thin">
        <color rgb="FF7F7F7F"/>
      </top>
      <bottom style="thin">
        <color rgb="FF7F7F7F"/>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bottom style="thin">
        <color indexed="64"/>
      </bottom>
      <diagonal/>
    </border>
    <border>
      <left/>
      <right style="double">
        <color rgb="FF000000"/>
      </right>
      <top/>
      <bottom style="thin">
        <color rgb="FF000000"/>
      </bottom>
      <diagonal/>
    </border>
    <border>
      <left style="thin">
        <color indexed="64"/>
      </left>
      <right/>
      <top/>
      <bottom style="thin">
        <color rgb="FF000000"/>
      </bottom>
      <diagonal/>
    </border>
    <border>
      <left/>
      <right style="thin">
        <color indexed="64"/>
      </right>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n">
        <color rgb="FF7F7F7F"/>
      </left>
      <right style="medium">
        <color rgb="FF000000"/>
      </right>
      <top style="thin">
        <color rgb="FF7F7F7F"/>
      </top>
      <bottom style="thin">
        <color rgb="FF7F7F7F"/>
      </bottom>
      <diagonal/>
    </border>
    <border>
      <left style="medium">
        <color rgb="FF000000"/>
      </left>
      <right style="thin">
        <color rgb="FF000000"/>
      </right>
      <top style="thin">
        <color rgb="FF000000"/>
      </top>
      <bottom style="medium">
        <color rgb="FF000000"/>
      </bottom>
      <diagonal/>
    </border>
    <border>
      <left/>
      <right style="medium">
        <color rgb="FF000000"/>
      </right>
      <top/>
      <bottom style="medium">
        <color rgb="FF000000"/>
      </bottom>
      <diagonal/>
    </border>
    <border>
      <left style="medium">
        <color rgb="FF000000"/>
      </left>
      <right/>
      <top style="medium">
        <color rgb="FF000000"/>
      </top>
      <bottom/>
      <diagonal/>
    </border>
    <border>
      <left/>
      <right style="medium">
        <color rgb="FF000000"/>
      </right>
      <top style="medium">
        <color rgb="FF000000"/>
      </top>
      <bottom/>
      <diagonal/>
    </border>
    <border>
      <left style="medium">
        <color rgb="FF000000"/>
      </left>
      <right/>
      <top/>
      <bottom style="medium">
        <color rgb="FF000000"/>
      </bottom>
      <diagonal/>
    </border>
    <border>
      <left style="thin">
        <color rgb="FF7F7F7F"/>
      </left>
      <right style="thin">
        <color rgb="FF7F7F7F"/>
      </right>
      <top style="thin">
        <color rgb="FF7F7F7F"/>
      </top>
      <bottom/>
      <diagonal/>
    </border>
    <border>
      <left style="medium">
        <color rgb="FF000000"/>
      </left>
      <right style="thin">
        <color indexed="64"/>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s>
  <cellStyleXfs count="4">
    <xf numFmtId="0" fontId="0" fillId="0" borderId="0"/>
    <xf numFmtId="0" fontId="56" fillId="32" borderId="0" applyNumberFormat="0" applyBorder="0" applyAlignment="0" applyProtection="0"/>
    <xf numFmtId="0" fontId="61" fillId="33" borderId="0" applyNumberFormat="0" applyBorder="0" applyAlignment="0" applyProtection="0"/>
    <xf numFmtId="0" fontId="62" fillId="34" borderId="59" applyNumberFormat="0" applyAlignment="0" applyProtection="0"/>
  </cellStyleXfs>
  <cellXfs count="769">
    <xf numFmtId="0" fontId="0" fillId="0" borderId="0" xfId="0"/>
    <xf numFmtId="0" fontId="0" fillId="0" borderId="1" xfId="0" applyBorder="1"/>
    <xf numFmtId="14" fontId="0" fillId="0" borderId="0" xfId="0" applyNumberFormat="1"/>
    <xf numFmtId="3" fontId="0" fillId="0" borderId="0" xfId="0" applyNumberFormat="1"/>
    <xf numFmtId="0" fontId="3" fillId="0" borderId="1" xfId="0" applyFont="1" applyBorder="1"/>
    <xf numFmtId="14" fontId="3" fillId="0" borderId="1" xfId="0" applyNumberFormat="1" applyFont="1" applyBorder="1"/>
    <xf numFmtId="0" fontId="0" fillId="5" borderId="0" xfId="0" applyFill="1"/>
    <xf numFmtId="0" fontId="3" fillId="2" borderId="1" xfId="0" applyFont="1" applyFill="1" applyBorder="1"/>
    <xf numFmtId="0" fontId="3" fillId="0" borderId="1" xfId="0" applyFont="1" applyBorder="1" applyAlignment="1">
      <alignment wrapText="1"/>
    </xf>
    <xf numFmtId="14" fontId="3" fillId="0" borderId="1" xfId="0" applyNumberFormat="1" applyFont="1" applyBorder="1" applyAlignment="1">
      <alignment wrapText="1"/>
    </xf>
    <xf numFmtId="0" fontId="6" fillId="0" borderId="1" xfId="0" applyFont="1" applyBorder="1" applyAlignment="1">
      <alignment wrapText="1"/>
    </xf>
    <xf numFmtId="0" fontId="0" fillId="0" borderId="0" xfId="0" applyAlignment="1">
      <alignment wrapText="1"/>
    </xf>
    <xf numFmtId="0" fontId="3" fillId="0" borderId="1" xfId="0" applyFont="1" applyBorder="1" applyAlignment="1">
      <alignment horizontal="center"/>
    </xf>
    <xf numFmtId="0" fontId="3" fillId="5" borderId="1" xfId="0" applyFont="1" applyFill="1" applyBorder="1" applyAlignment="1">
      <alignment horizontal="center"/>
    </xf>
    <xf numFmtId="0" fontId="3" fillId="0" borderId="1" xfId="0" applyFont="1" applyBorder="1" applyAlignment="1">
      <alignment horizontal="center" wrapText="1"/>
    </xf>
    <xf numFmtId="0" fontId="7" fillId="0" borderId="1" xfId="0" applyFont="1" applyBorder="1" applyAlignment="1">
      <alignment wrapText="1"/>
    </xf>
    <xf numFmtId="0" fontId="7" fillId="0" borderId="0" xfId="0" applyFont="1" applyAlignment="1">
      <alignment wrapText="1"/>
    </xf>
    <xf numFmtId="0" fontId="3" fillId="5" borderId="1" xfId="0" applyFont="1" applyFill="1" applyBorder="1" applyAlignment="1">
      <alignment wrapText="1"/>
    </xf>
    <xf numFmtId="14" fontId="3" fillId="7" borderId="1" xfId="0" applyNumberFormat="1" applyFont="1" applyFill="1" applyBorder="1"/>
    <xf numFmtId="0" fontId="3" fillId="7" borderId="1" xfId="0" applyFont="1" applyFill="1" applyBorder="1" applyAlignment="1">
      <alignment wrapText="1"/>
    </xf>
    <xf numFmtId="0" fontId="3" fillId="7" borderId="1" xfId="0" applyFont="1" applyFill="1" applyBorder="1" applyAlignment="1">
      <alignment horizontal="center"/>
    </xf>
    <xf numFmtId="0" fontId="3" fillId="7" borderId="1" xfId="0" applyFont="1" applyFill="1" applyBorder="1"/>
    <xf numFmtId="0" fontId="0" fillId="7" borderId="0" xfId="0" applyFill="1"/>
    <xf numFmtId="0" fontId="3" fillId="8" borderId="1" xfId="0" applyFont="1" applyFill="1" applyBorder="1"/>
    <xf numFmtId="14" fontId="9" fillId="0" borderId="1" xfId="0" applyNumberFormat="1" applyFont="1" applyBorder="1"/>
    <xf numFmtId="0" fontId="9" fillId="9" borderId="1" xfId="0" applyFont="1" applyFill="1" applyBorder="1" applyAlignment="1">
      <alignment horizontal="center"/>
    </xf>
    <xf numFmtId="0" fontId="9" fillId="0" borderId="1" xfId="0" applyFont="1" applyBorder="1" applyAlignment="1">
      <alignment horizontal="center"/>
    </xf>
    <xf numFmtId="0" fontId="9" fillId="0" borderId="1" xfId="0" applyFont="1" applyBorder="1"/>
    <xf numFmtId="0" fontId="10" fillId="0" borderId="0" xfId="0" applyFont="1"/>
    <xf numFmtId="0" fontId="3" fillId="0" borderId="0" xfId="0" applyFont="1" applyAlignment="1">
      <alignment wrapText="1"/>
    </xf>
    <xf numFmtId="0" fontId="3" fillId="10" borderId="1" xfId="0" applyFont="1" applyFill="1" applyBorder="1"/>
    <xf numFmtId="14" fontId="3" fillId="5" borderId="1" xfId="0" applyNumberFormat="1" applyFont="1" applyFill="1" applyBorder="1"/>
    <xf numFmtId="0" fontId="3" fillId="5" borderId="1" xfId="0" applyFont="1" applyFill="1" applyBorder="1" applyAlignment="1">
      <alignment horizontal="center" wrapText="1"/>
    </xf>
    <xf numFmtId="0" fontId="3" fillId="12" borderId="1" xfId="0" applyFont="1" applyFill="1" applyBorder="1" applyAlignment="1">
      <alignment horizontal="center"/>
    </xf>
    <xf numFmtId="0" fontId="11" fillId="0" borderId="1" xfId="0" applyFont="1" applyBorder="1" applyAlignment="1">
      <alignment wrapText="1"/>
    </xf>
    <xf numFmtId="0" fontId="12" fillId="0" borderId="0" xfId="0" applyFont="1"/>
    <xf numFmtId="165" fontId="11" fillId="0" borderId="1" xfId="0" applyNumberFormat="1" applyFont="1" applyBorder="1" applyAlignment="1">
      <alignment wrapText="1"/>
    </xf>
    <xf numFmtId="0" fontId="13" fillId="0" borderId="0" xfId="0" applyFont="1" applyAlignment="1">
      <alignment wrapText="1"/>
    </xf>
    <xf numFmtId="0" fontId="13" fillId="0" borderId="0" xfId="0" applyFont="1"/>
    <xf numFmtId="0" fontId="13" fillId="5" borderId="0" xfId="0" applyFont="1" applyFill="1"/>
    <xf numFmtId="0" fontId="13" fillId="7" borderId="0" xfId="0" applyFont="1" applyFill="1"/>
    <xf numFmtId="165" fontId="0" fillId="0" borderId="0" xfId="0" applyNumberFormat="1"/>
    <xf numFmtId="0" fontId="14" fillId="0" borderId="3" xfId="0" applyFont="1" applyBorder="1"/>
    <xf numFmtId="165" fontId="13" fillId="0" borderId="4" xfId="0" applyNumberFormat="1" applyFont="1" applyBorder="1"/>
    <xf numFmtId="0" fontId="14" fillId="0" borderId="4" xfId="0" applyFont="1" applyBorder="1"/>
    <xf numFmtId="167" fontId="13" fillId="0" borderId="4" xfId="0" applyNumberFormat="1" applyFont="1" applyBorder="1"/>
    <xf numFmtId="167" fontId="13" fillId="0" borderId="5" xfId="0" applyNumberFormat="1" applyFont="1" applyBorder="1"/>
    <xf numFmtId="0" fontId="14" fillId="0" borderId="6" xfId="0" applyFont="1" applyBorder="1"/>
    <xf numFmtId="167" fontId="13" fillId="0" borderId="0" xfId="0" applyNumberFormat="1" applyFont="1"/>
    <xf numFmtId="165" fontId="14" fillId="0" borderId="0" xfId="0" applyNumberFormat="1" applyFont="1"/>
    <xf numFmtId="167" fontId="13" fillId="0" borderId="7" xfId="0" applyNumberFormat="1" applyFont="1" applyBorder="1"/>
    <xf numFmtId="2" fontId="13" fillId="0" borderId="0" xfId="0" applyNumberFormat="1" applyFont="1"/>
    <xf numFmtId="165" fontId="13" fillId="0" borderId="0" xfId="0" applyNumberFormat="1" applyFont="1"/>
    <xf numFmtId="0" fontId="14" fillId="0" borderId="0" xfId="0" applyFont="1"/>
    <xf numFmtId="0" fontId="13" fillId="0" borderId="7" xfId="0" applyFont="1" applyBorder="1"/>
    <xf numFmtId="0" fontId="13" fillId="0" borderId="6" xfId="0" applyFont="1" applyBorder="1"/>
    <xf numFmtId="0" fontId="14" fillId="0" borderId="8" xfId="0" applyFont="1" applyBorder="1"/>
    <xf numFmtId="2" fontId="13" fillId="0" borderId="9" xfId="0" applyNumberFormat="1" applyFont="1" applyBorder="1"/>
    <xf numFmtId="165" fontId="13" fillId="0" borderId="9" xfId="0" applyNumberFormat="1" applyFont="1" applyBorder="1"/>
    <xf numFmtId="0" fontId="14" fillId="0" borderId="9" xfId="0" applyFont="1" applyBorder="1"/>
    <xf numFmtId="0" fontId="13" fillId="0" borderId="10" xfId="0" applyFont="1" applyBorder="1"/>
    <xf numFmtId="167" fontId="13" fillId="0" borderId="9" xfId="0" applyNumberFormat="1" applyFont="1" applyBorder="1"/>
    <xf numFmtId="0" fontId="14" fillId="13" borderId="3" xfId="0" applyFont="1" applyFill="1" applyBorder="1"/>
    <xf numFmtId="165" fontId="13" fillId="13" borderId="4" xfId="0" applyNumberFormat="1" applyFont="1" applyFill="1" applyBorder="1"/>
    <xf numFmtId="0" fontId="14" fillId="13" borderId="4" xfId="0" applyFont="1" applyFill="1" applyBorder="1"/>
    <xf numFmtId="167" fontId="13" fillId="13" borderId="4" xfId="0" applyNumberFormat="1" applyFont="1" applyFill="1" applyBorder="1"/>
    <xf numFmtId="167" fontId="13" fillId="13" borderId="5" xfId="0" applyNumberFormat="1" applyFont="1" applyFill="1" applyBorder="1"/>
    <xf numFmtId="0" fontId="14" fillId="13" borderId="6" xfId="0" applyFont="1" applyFill="1" applyBorder="1"/>
    <xf numFmtId="167" fontId="13" fillId="13" borderId="0" xfId="0" applyNumberFormat="1" applyFont="1" applyFill="1"/>
    <xf numFmtId="165" fontId="14" fillId="13" borderId="0" xfId="0" applyNumberFormat="1" applyFont="1" applyFill="1"/>
    <xf numFmtId="167" fontId="13" fillId="13" borderId="7" xfId="0" applyNumberFormat="1" applyFont="1" applyFill="1" applyBorder="1"/>
    <xf numFmtId="2" fontId="13" fillId="13" borderId="0" xfId="0" applyNumberFormat="1" applyFont="1" applyFill="1"/>
    <xf numFmtId="165" fontId="13" fillId="13" borderId="0" xfId="0" applyNumberFormat="1" applyFont="1" applyFill="1"/>
    <xf numFmtId="0" fontId="14" fillId="13" borderId="0" xfId="0" applyFont="1" applyFill="1"/>
    <xf numFmtId="0" fontId="13" fillId="13" borderId="7" xfId="0" applyFont="1" applyFill="1" applyBorder="1"/>
    <xf numFmtId="0" fontId="14" fillId="12" borderId="6" xfId="0" applyFont="1" applyFill="1" applyBorder="1"/>
    <xf numFmtId="165" fontId="13" fillId="12" borderId="0" xfId="0" applyNumberFormat="1" applyFont="1" applyFill="1"/>
    <xf numFmtId="0" fontId="14" fillId="12" borderId="0" xfId="0" applyFont="1" applyFill="1"/>
    <xf numFmtId="167" fontId="13" fillId="12" borderId="0" xfId="0" applyNumberFormat="1" applyFont="1" applyFill="1"/>
    <xf numFmtId="167" fontId="13" fillId="12" borderId="7" xfId="0" applyNumberFormat="1" applyFont="1" applyFill="1" applyBorder="1"/>
    <xf numFmtId="0" fontId="14" fillId="12" borderId="8" xfId="0" applyFont="1" applyFill="1" applyBorder="1"/>
    <xf numFmtId="2" fontId="13" fillId="12" borderId="9" xfId="0" applyNumberFormat="1" applyFont="1" applyFill="1" applyBorder="1"/>
    <xf numFmtId="165" fontId="13" fillId="12" borderId="9" xfId="0" applyNumberFormat="1" applyFont="1" applyFill="1" applyBorder="1"/>
    <xf numFmtId="0" fontId="14" fillId="12" borderId="9" xfId="0" applyFont="1" applyFill="1" applyBorder="1"/>
    <xf numFmtId="1" fontId="13" fillId="12" borderId="9" xfId="0" applyNumberFormat="1" applyFont="1" applyFill="1" applyBorder="1"/>
    <xf numFmtId="0" fontId="13" fillId="12" borderId="10" xfId="0" applyFont="1" applyFill="1" applyBorder="1"/>
    <xf numFmtId="0" fontId="0" fillId="16" borderId="12" xfId="0" applyFill="1" applyBorder="1"/>
    <xf numFmtId="0" fontId="3" fillId="16" borderId="12" xfId="0" applyFont="1" applyFill="1" applyBorder="1" applyAlignment="1">
      <alignment horizontal="center"/>
    </xf>
    <xf numFmtId="0" fontId="0" fillId="17" borderId="0" xfId="0" applyFill="1"/>
    <xf numFmtId="0" fontId="3" fillId="17" borderId="11" xfId="0" applyFont="1" applyFill="1" applyBorder="1" applyAlignment="1">
      <alignment horizontal="center"/>
    </xf>
    <xf numFmtId="0" fontId="0" fillId="18" borderId="0" xfId="0" applyFill="1"/>
    <xf numFmtId="0" fontId="2" fillId="0" borderId="0" xfId="0" applyFont="1"/>
    <xf numFmtId="16" fontId="3" fillId="0" borderId="1" xfId="0" applyNumberFormat="1" applyFont="1" applyBorder="1"/>
    <xf numFmtId="0" fontId="3" fillId="5" borderId="1" xfId="0" applyFont="1" applyFill="1" applyBorder="1"/>
    <xf numFmtId="0" fontId="3" fillId="11" borderId="1" xfId="0" applyFont="1" applyFill="1" applyBorder="1" applyAlignment="1">
      <alignment horizontal="center"/>
    </xf>
    <xf numFmtId="0" fontId="3" fillId="11" borderId="1" xfId="0" applyFont="1" applyFill="1" applyBorder="1"/>
    <xf numFmtId="165" fontId="3" fillId="5" borderId="1" xfId="0" applyNumberFormat="1" applyFont="1" applyFill="1" applyBorder="1"/>
    <xf numFmtId="165" fontId="3" fillId="0" borderId="1" xfId="0" applyNumberFormat="1" applyFont="1" applyBorder="1"/>
    <xf numFmtId="165" fontId="3" fillId="11" borderId="1" xfId="0" applyNumberFormat="1" applyFont="1" applyFill="1" applyBorder="1"/>
    <xf numFmtId="166" fontId="3" fillId="11" borderId="1" xfId="0" applyNumberFormat="1" applyFont="1" applyFill="1" applyBorder="1" applyAlignment="1">
      <alignment horizontal="center"/>
    </xf>
    <xf numFmtId="16" fontId="0" fillId="0" borderId="0" xfId="0" applyNumberFormat="1"/>
    <xf numFmtId="0" fontId="0" fillId="19" borderId="0" xfId="0" applyFill="1"/>
    <xf numFmtId="0" fontId="12" fillId="0" borderId="1" xfId="0" applyFont="1" applyBorder="1"/>
    <xf numFmtId="0" fontId="12" fillId="0" borderId="13" xfId="0" applyFont="1" applyBorder="1"/>
    <xf numFmtId="0" fontId="12" fillId="0" borderId="6" xfId="0" applyFont="1" applyBorder="1"/>
    <xf numFmtId="0" fontId="12" fillId="0" borderId="7" xfId="0" applyFont="1" applyBorder="1"/>
    <xf numFmtId="0" fontId="16" fillId="0" borderId="0" xfId="0" applyFont="1"/>
    <xf numFmtId="0" fontId="12" fillId="21" borderId="13" xfId="0" applyFont="1" applyFill="1" applyBorder="1"/>
    <xf numFmtId="16" fontId="12" fillId="21" borderId="13" xfId="0" applyNumberFormat="1" applyFont="1" applyFill="1" applyBorder="1"/>
    <xf numFmtId="0" fontId="12" fillId="21" borderId="15" xfId="0" applyFont="1" applyFill="1" applyBorder="1"/>
    <xf numFmtId="16" fontId="12" fillId="22" borderId="13" xfId="0" applyNumberFormat="1" applyFont="1" applyFill="1" applyBorder="1"/>
    <xf numFmtId="0" fontId="12" fillId="22" borderId="15" xfId="0" applyFont="1" applyFill="1" applyBorder="1"/>
    <xf numFmtId="0" fontId="12" fillId="0" borderId="15" xfId="0" applyFont="1" applyBorder="1"/>
    <xf numFmtId="0" fontId="12" fillId="0" borderId="10" xfId="0" applyFont="1" applyBorder="1"/>
    <xf numFmtId="0" fontId="7" fillId="0" borderId="12" xfId="0" applyFont="1" applyBorder="1" applyAlignment="1">
      <alignment wrapText="1"/>
    </xf>
    <xf numFmtId="0" fontId="3" fillId="0" borderId="12" xfId="0" applyFont="1" applyBorder="1"/>
    <xf numFmtId="0" fontId="3" fillId="2" borderId="12" xfId="0" applyFont="1" applyFill="1" applyBorder="1"/>
    <xf numFmtId="0" fontId="3" fillId="3" borderId="12" xfId="0" applyFont="1" applyFill="1" applyBorder="1"/>
    <xf numFmtId="0" fontId="3" fillId="4" borderId="12" xfId="0" applyFont="1" applyFill="1" applyBorder="1"/>
    <xf numFmtId="0" fontId="3" fillId="8" borderId="12" xfId="0" applyFont="1" applyFill="1" applyBorder="1"/>
    <xf numFmtId="0" fontId="3" fillId="5" borderId="12" xfId="0" applyFont="1" applyFill="1" applyBorder="1"/>
    <xf numFmtId="0" fontId="3" fillId="0" borderId="12" xfId="0" applyFont="1" applyBorder="1" applyAlignment="1">
      <alignment wrapText="1"/>
    </xf>
    <xf numFmtId="0" fontId="3" fillId="7" borderId="12" xfId="0" applyFont="1" applyFill="1" applyBorder="1"/>
    <xf numFmtId="0" fontId="9" fillId="0" borderId="12" xfId="0" applyFont="1" applyBorder="1"/>
    <xf numFmtId="0" fontId="3" fillId="10" borderId="12" xfId="0" applyFont="1" applyFill="1" applyBorder="1"/>
    <xf numFmtId="0" fontId="3" fillId="11" borderId="12" xfId="0" applyFont="1" applyFill="1" applyBorder="1"/>
    <xf numFmtId="0" fontId="11" fillId="0" borderId="12" xfId="0" applyFont="1" applyBorder="1" applyAlignment="1">
      <alignment wrapText="1"/>
    </xf>
    <xf numFmtId="0" fontId="3" fillId="20" borderId="12" xfId="0" applyFont="1" applyFill="1" applyBorder="1"/>
    <xf numFmtId="0" fontId="3" fillId="19" borderId="12" xfId="0" applyFont="1" applyFill="1" applyBorder="1" applyAlignment="1">
      <alignment horizontal="center"/>
    </xf>
    <xf numFmtId="0" fontId="3" fillId="0" borderId="12" xfId="0" applyFont="1" applyBorder="1" applyAlignment="1">
      <alignment horizontal="center"/>
    </xf>
    <xf numFmtId="0" fontId="12" fillId="0" borderId="8" xfId="0" applyFont="1" applyBorder="1"/>
    <xf numFmtId="165" fontId="12" fillId="22" borderId="15" xfId="0" applyNumberFormat="1" applyFont="1" applyFill="1" applyBorder="1"/>
    <xf numFmtId="0" fontId="3" fillId="24" borderId="12" xfId="0" applyFont="1" applyFill="1" applyBorder="1"/>
    <xf numFmtId="0" fontId="20" fillId="0" borderId="3" xfId="0" applyFont="1" applyBorder="1" applyAlignment="1">
      <alignment wrapText="1"/>
    </xf>
    <xf numFmtId="0" fontId="20" fillId="0" borderId="5" xfId="0" applyFont="1" applyBorder="1" applyAlignment="1">
      <alignment wrapText="1"/>
    </xf>
    <xf numFmtId="0" fontId="20" fillId="0" borderId="6" xfId="0" applyFont="1" applyBorder="1"/>
    <xf numFmtId="0" fontId="20" fillId="0" borderId="7" xfId="0" applyFont="1" applyBorder="1"/>
    <xf numFmtId="0" fontId="20" fillId="0" borderId="4" xfId="0" applyFont="1" applyBorder="1" applyAlignment="1">
      <alignment wrapText="1"/>
    </xf>
    <xf numFmtId="0" fontId="20" fillId="0" borderId="0" xfId="0" applyFont="1"/>
    <xf numFmtId="16" fontId="12" fillId="0" borderId="13" xfId="0" applyNumberFormat="1" applyFont="1" applyBorder="1"/>
    <xf numFmtId="0" fontId="3" fillId="23" borderId="1" xfId="0" applyFont="1" applyFill="1" applyBorder="1" applyAlignment="1">
      <alignment horizontal="center"/>
    </xf>
    <xf numFmtId="0" fontId="16" fillId="0" borderId="0" xfId="0" applyFont="1" applyAlignment="1">
      <alignment wrapText="1"/>
    </xf>
    <xf numFmtId="14" fontId="12" fillId="0" borderId="13" xfId="0" applyNumberFormat="1" applyFont="1" applyBorder="1"/>
    <xf numFmtId="0" fontId="24" fillId="0" borderId="12" xfId="0" applyFont="1" applyBorder="1" applyAlignment="1">
      <alignment horizontal="center" wrapText="1"/>
    </xf>
    <xf numFmtId="0" fontId="7" fillId="0" borderId="12" xfId="0" applyFont="1" applyBorder="1" applyAlignment="1">
      <alignment horizontal="center"/>
    </xf>
    <xf numFmtId="0" fontId="3" fillId="23" borderId="12" xfId="0" applyFont="1" applyFill="1" applyBorder="1" applyAlignment="1">
      <alignment vertical="center" wrapText="1"/>
    </xf>
    <xf numFmtId="0" fontId="3" fillId="27" borderId="12" xfId="0" applyFont="1" applyFill="1" applyBorder="1" applyAlignment="1">
      <alignment vertical="center" wrapText="1"/>
    </xf>
    <xf numFmtId="0" fontId="3" fillId="0" borderId="12" xfId="0" applyFont="1" applyBorder="1" applyAlignment="1">
      <alignment vertical="center" wrapText="1"/>
    </xf>
    <xf numFmtId="0" fontId="24" fillId="0" borderId="12" xfId="0" applyFont="1" applyBorder="1" applyAlignment="1">
      <alignment horizontal="left" vertical="center"/>
    </xf>
    <xf numFmtId="0" fontId="2" fillId="0" borderId="12" xfId="0" applyFont="1" applyBorder="1" applyAlignment="1">
      <alignment horizontal="center"/>
    </xf>
    <xf numFmtId="0" fontId="4" fillId="0" borderId="12" xfId="0" applyFont="1" applyBorder="1" applyAlignment="1">
      <alignment horizontal="left" vertical="center"/>
    </xf>
    <xf numFmtId="0" fontId="4" fillId="0" borderId="12" xfId="0" applyFont="1" applyBorder="1"/>
    <xf numFmtId="16" fontId="3" fillId="0" borderId="12" xfId="0" applyNumberFormat="1" applyFont="1" applyBorder="1"/>
    <xf numFmtId="0" fontId="3" fillId="2" borderId="12" xfId="0" applyFont="1" applyFill="1" applyBorder="1" applyAlignment="1">
      <alignment horizontal="center"/>
    </xf>
    <xf numFmtId="0" fontId="4" fillId="2" borderId="12" xfId="0" applyFont="1" applyFill="1" applyBorder="1" applyAlignment="1">
      <alignment horizontal="left" vertical="center"/>
    </xf>
    <xf numFmtId="0" fontId="4" fillId="2" borderId="12" xfId="0" applyFont="1" applyFill="1" applyBorder="1"/>
    <xf numFmtId="17" fontId="3" fillId="0" borderId="12" xfId="0" applyNumberFormat="1" applyFont="1" applyBorder="1" applyAlignment="1">
      <alignment horizontal="center"/>
    </xf>
    <xf numFmtId="16" fontId="3" fillId="3" borderId="12" xfId="0" applyNumberFormat="1" applyFont="1" applyFill="1" applyBorder="1"/>
    <xf numFmtId="0" fontId="3" fillId="3" borderId="12" xfId="0" applyFont="1" applyFill="1" applyBorder="1" applyAlignment="1">
      <alignment horizontal="center"/>
    </xf>
    <xf numFmtId="0" fontId="4" fillId="3" borderId="12" xfId="0" applyFont="1" applyFill="1" applyBorder="1" applyAlignment="1">
      <alignment horizontal="left" vertical="center"/>
    </xf>
    <xf numFmtId="0" fontId="4" fillId="3" borderId="12" xfId="0" applyFont="1" applyFill="1" applyBorder="1"/>
    <xf numFmtId="16" fontId="3" fillId="2" borderId="12" xfId="0" applyNumberFormat="1" applyFont="1" applyFill="1" applyBorder="1"/>
    <xf numFmtId="0" fontId="3" fillId="0" borderId="12" xfId="0" applyFont="1" applyBorder="1" applyAlignment="1">
      <alignment horizontal="left" vertical="center"/>
    </xf>
    <xf numFmtId="0" fontId="0" fillId="0" borderId="12" xfId="0" applyBorder="1" applyAlignment="1">
      <alignment horizontal="left" vertical="center"/>
    </xf>
    <xf numFmtId="0" fontId="0" fillId="0" borderId="12" xfId="0" applyBorder="1"/>
    <xf numFmtId="0" fontId="3" fillId="4" borderId="12" xfId="0" applyFont="1" applyFill="1" applyBorder="1" applyAlignment="1">
      <alignment horizontal="center"/>
    </xf>
    <xf numFmtId="0" fontId="0" fillId="4" borderId="12" xfId="0" applyFill="1" applyBorder="1" applyAlignment="1">
      <alignment horizontal="left" vertical="center"/>
    </xf>
    <xf numFmtId="0" fontId="0" fillId="4" borderId="12" xfId="0" applyFill="1" applyBorder="1"/>
    <xf numFmtId="3" fontId="3" fillId="0" borderId="12" xfId="0" applyNumberFormat="1" applyFont="1" applyBorder="1" applyAlignment="1">
      <alignment horizontal="center"/>
    </xf>
    <xf numFmtId="14" fontId="3" fillId="0" borderId="12" xfId="0" applyNumberFormat="1" applyFont="1" applyBorder="1"/>
    <xf numFmtId="3" fontId="3" fillId="0" borderId="12" xfId="0" quotePrefix="1" applyNumberFormat="1" applyFont="1" applyBorder="1" applyAlignment="1">
      <alignment horizontal="center"/>
    </xf>
    <xf numFmtId="14" fontId="3" fillId="8" borderId="12" xfId="0" applyNumberFormat="1" applyFont="1" applyFill="1" applyBorder="1"/>
    <xf numFmtId="0" fontId="3" fillId="8" borderId="12" xfId="0" applyFont="1" applyFill="1" applyBorder="1" applyAlignment="1">
      <alignment horizontal="center"/>
    </xf>
    <xf numFmtId="0" fontId="0" fillId="8" borderId="12" xfId="0" applyFill="1" applyBorder="1" applyAlignment="1">
      <alignment horizontal="left" vertical="center"/>
    </xf>
    <xf numFmtId="0" fontId="0" fillId="8" borderId="12" xfId="0" applyFill="1" applyBorder="1"/>
    <xf numFmtId="0" fontId="3" fillId="5" borderId="12" xfId="0" applyFont="1" applyFill="1" applyBorder="1" applyAlignment="1">
      <alignment horizontal="center"/>
    </xf>
    <xf numFmtId="0" fontId="0" fillId="5" borderId="12" xfId="0" applyFill="1" applyBorder="1" applyAlignment="1">
      <alignment horizontal="left" vertical="center"/>
    </xf>
    <xf numFmtId="0" fontId="0" fillId="5" borderId="12" xfId="0" applyFill="1" applyBorder="1"/>
    <xf numFmtId="14" fontId="3" fillId="0" borderId="12" xfId="0" applyNumberFormat="1" applyFont="1" applyBorder="1" applyAlignment="1">
      <alignment wrapText="1"/>
    </xf>
    <xf numFmtId="0" fontId="3" fillId="0" borderId="12" xfId="0" applyFont="1" applyBorder="1" applyAlignment="1">
      <alignment horizontal="center" wrapText="1"/>
    </xf>
    <xf numFmtId="0" fontId="0" fillId="0" borderId="12" xfId="0" applyBorder="1" applyAlignment="1">
      <alignment wrapText="1"/>
    </xf>
    <xf numFmtId="164" fontId="5" fillId="6" borderId="12" xfId="0" applyNumberFormat="1" applyFont="1" applyFill="1" applyBorder="1" applyAlignment="1">
      <alignment horizontal="center" vertical="center" wrapText="1"/>
    </xf>
    <xf numFmtId="0" fontId="8" fillId="0" borderId="12" xfId="0" applyFont="1" applyBorder="1" applyAlignment="1">
      <alignment horizontal="left" vertical="center"/>
    </xf>
    <xf numFmtId="14" fontId="3" fillId="7" borderId="12" xfId="0" applyNumberFormat="1" applyFont="1" applyFill="1" applyBorder="1"/>
    <xf numFmtId="0" fontId="3" fillId="7" borderId="12" xfId="0" applyFont="1" applyFill="1" applyBorder="1" applyAlignment="1">
      <alignment horizontal="center"/>
    </xf>
    <xf numFmtId="0" fontId="0" fillId="7" borderId="12" xfId="0" applyFill="1" applyBorder="1" applyAlignment="1">
      <alignment horizontal="left" vertical="center"/>
    </xf>
    <xf numFmtId="0" fontId="0" fillId="7" borderId="12" xfId="0" applyFill="1" applyBorder="1"/>
    <xf numFmtId="3" fontId="3" fillId="7" borderId="12" xfId="0" applyNumberFormat="1" applyFont="1" applyFill="1" applyBorder="1" applyAlignment="1">
      <alignment horizontal="center"/>
    </xf>
    <xf numFmtId="0" fontId="8" fillId="7" borderId="12" xfId="0" applyFont="1" applyFill="1" applyBorder="1" applyAlignment="1">
      <alignment horizontal="left" vertical="center"/>
    </xf>
    <xf numFmtId="0" fontId="7" fillId="0" borderId="12" xfId="0" applyFont="1" applyBorder="1" applyAlignment="1">
      <alignment horizontal="left" vertical="center"/>
    </xf>
    <xf numFmtId="14" fontId="9" fillId="0" borderId="12" xfId="0" applyNumberFormat="1" applyFont="1" applyBorder="1"/>
    <xf numFmtId="0" fontId="9" fillId="9" borderId="12" xfId="0" applyFont="1" applyFill="1" applyBorder="1" applyAlignment="1">
      <alignment horizontal="center"/>
    </xf>
    <xf numFmtId="0" fontId="9" fillId="0" borderId="12" xfId="0" applyFont="1" applyBorder="1" applyAlignment="1">
      <alignment horizontal="center"/>
    </xf>
    <xf numFmtId="0" fontId="10" fillId="0" borderId="12" xfId="0" applyFont="1" applyBorder="1" applyAlignment="1">
      <alignment horizontal="left" vertical="center"/>
    </xf>
    <xf numFmtId="0" fontId="10" fillId="0" borderId="12" xfId="0" applyFont="1" applyBorder="1"/>
    <xf numFmtId="0" fontId="3" fillId="14" borderId="12" xfId="0" applyFont="1" applyFill="1" applyBorder="1" applyAlignment="1">
      <alignment horizontal="center"/>
    </xf>
    <xf numFmtId="0" fontId="0" fillId="10" borderId="12" xfId="0" applyFill="1" applyBorder="1" applyAlignment="1">
      <alignment horizontal="left" vertical="center"/>
    </xf>
    <xf numFmtId="0" fontId="3" fillId="11" borderId="12" xfId="0" applyFont="1" applyFill="1" applyBorder="1" applyAlignment="1">
      <alignment horizontal="center"/>
    </xf>
    <xf numFmtId="0" fontId="3" fillId="12" borderId="12" xfId="0" applyFont="1" applyFill="1" applyBorder="1" applyAlignment="1">
      <alignment horizontal="center"/>
    </xf>
    <xf numFmtId="3" fontId="3" fillId="11" borderId="12" xfId="0" applyNumberFormat="1" applyFont="1" applyFill="1" applyBorder="1" applyAlignment="1">
      <alignment horizontal="center"/>
    </xf>
    <xf numFmtId="165" fontId="3" fillId="5" borderId="12" xfId="0" applyNumberFormat="1" applyFont="1" applyFill="1" applyBorder="1"/>
    <xf numFmtId="165" fontId="3" fillId="0" borderId="12" xfId="0" applyNumberFormat="1" applyFont="1" applyBorder="1"/>
    <xf numFmtId="165" fontId="3" fillId="11" borderId="12" xfId="0" applyNumberFormat="1" applyFont="1" applyFill="1" applyBorder="1"/>
    <xf numFmtId="165" fontId="11" fillId="0" borderId="12" xfId="0" applyNumberFormat="1" applyFont="1" applyBorder="1" applyAlignment="1">
      <alignment wrapText="1"/>
    </xf>
    <xf numFmtId="166" fontId="3" fillId="11" borderId="12" xfId="0" applyNumberFormat="1" applyFont="1" applyFill="1" applyBorder="1" applyAlignment="1">
      <alignment horizontal="center"/>
    </xf>
    <xf numFmtId="3" fontId="0" fillId="0" borderId="12" xfId="0" applyNumberFormat="1" applyBorder="1" applyAlignment="1">
      <alignment horizontal="left" vertical="center"/>
    </xf>
    <xf numFmtId="164" fontId="3" fillId="11" borderId="12" xfId="0" applyNumberFormat="1" applyFont="1" applyFill="1" applyBorder="1" applyAlignment="1">
      <alignment horizontal="center"/>
    </xf>
    <xf numFmtId="165" fontId="3" fillId="11" borderId="12" xfId="0" applyNumberFormat="1" applyFont="1" applyFill="1" applyBorder="1" applyAlignment="1">
      <alignment horizontal="center"/>
    </xf>
    <xf numFmtId="166" fontId="3" fillId="0" borderId="12" xfId="0" applyNumberFormat="1" applyFont="1" applyBorder="1" applyAlignment="1">
      <alignment horizontal="center"/>
    </xf>
    <xf numFmtId="165" fontId="3" fillId="0" borderId="12" xfId="0" applyNumberFormat="1" applyFont="1" applyBorder="1" applyAlignment="1">
      <alignment horizontal="center"/>
    </xf>
    <xf numFmtId="0" fontId="3" fillId="13" borderId="12" xfId="0" applyFont="1" applyFill="1" applyBorder="1" applyAlignment="1">
      <alignment wrapText="1"/>
    </xf>
    <xf numFmtId="0" fontId="3" fillId="15" borderId="12" xfId="0" applyFont="1" applyFill="1" applyBorder="1" applyAlignment="1">
      <alignment horizontal="center"/>
    </xf>
    <xf numFmtId="0" fontId="3" fillId="15" borderId="12" xfId="0" applyFont="1" applyFill="1" applyBorder="1"/>
    <xf numFmtId="166" fontId="0" fillId="0" borderId="12" xfId="0" applyNumberFormat="1" applyBorder="1" applyAlignment="1">
      <alignment horizontal="left" vertical="center"/>
    </xf>
    <xf numFmtId="16" fontId="3" fillId="20" borderId="12" xfId="0" applyNumberFormat="1" applyFont="1" applyFill="1" applyBorder="1"/>
    <xf numFmtId="0" fontId="3" fillId="20" borderId="12" xfId="0" applyFont="1" applyFill="1" applyBorder="1" applyAlignment="1">
      <alignment horizontal="center"/>
    </xf>
    <xf numFmtId="164" fontId="3" fillId="20" borderId="12" xfId="0" applyNumberFormat="1" applyFont="1" applyFill="1" applyBorder="1" applyAlignment="1">
      <alignment horizontal="center"/>
    </xf>
    <xf numFmtId="165" fontId="3" fillId="20" borderId="12" xfId="0" applyNumberFormat="1" applyFont="1" applyFill="1" applyBorder="1" applyAlignment="1">
      <alignment horizontal="center"/>
    </xf>
    <xf numFmtId="3" fontId="3" fillId="20" borderId="12" xfId="0" applyNumberFormat="1" applyFont="1" applyFill="1" applyBorder="1" applyAlignment="1">
      <alignment horizontal="center"/>
    </xf>
    <xf numFmtId="0" fontId="0" fillId="20" borderId="12" xfId="0" applyFill="1" applyBorder="1" applyAlignment="1">
      <alignment horizontal="left" vertical="center"/>
    </xf>
    <xf numFmtId="0" fontId="0" fillId="20" borderId="12" xfId="0" applyFill="1" applyBorder="1"/>
    <xf numFmtId="166" fontId="3" fillId="20" borderId="12" xfId="0" applyNumberFormat="1" applyFont="1" applyFill="1" applyBorder="1" applyAlignment="1">
      <alignment horizontal="center"/>
    </xf>
    <xf numFmtId="164" fontId="0" fillId="0" borderId="12" xfId="0" applyNumberFormat="1" applyBorder="1"/>
    <xf numFmtId="20" fontId="0" fillId="0" borderId="12" xfId="0" applyNumberFormat="1" applyBorder="1"/>
    <xf numFmtId="18" fontId="0" fillId="0" borderId="12" xfId="0" applyNumberFormat="1" applyBorder="1"/>
    <xf numFmtId="0" fontId="3" fillId="0" borderId="12" xfId="0" applyFont="1" applyBorder="1" applyAlignment="1">
      <alignment horizontal="center" vertical="center" wrapText="1"/>
    </xf>
    <xf numFmtId="2" fontId="3" fillId="11" borderId="12" xfId="0" applyNumberFormat="1" applyFont="1" applyFill="1" applyBorder="1" applyAlignment="1">
      <alignment horizontal="center"/>
    </xf>
    <xf numFmtId="0" fontId="26" fillId="0" borderId="12" xfId="0" applyFont="1" applyBorder="1"/>
    <xf numFmtId="0" fontId="12" fillId="23" borderId="12" xfId="0" applyFont="1" applyFill="1" applyBorder="1"/>
    <xf numFmtId="0" fontId="3" fillId="23" borderId="12" xfId="0" applyFont="1" applyFill="1" applyBorder="1" applyAlignment="1">
      <alignment horizontal="center"/>
    </xf>
    <xf numFmtId="0" fontId="3" fillId="23" borderId="12" xfId="0" applyFont="1" applyFill="1" applyBorder="1"/>
    <xf numFmtId="3" fontId="3" fillId="23" borderId="12" xfId="0" applyNumberFormat="1" applyFont="1" applyFill="1" applyBorder="1" applyAlignment="1">
      <alignment horizontal="center"/>
    </xf>
    <xf numFmtId="168" fontId="3" fillId="11" borderId="12" xfId="0" applyNumberFormat="1" applyFont="1" applyFill="1" applyBorder="1" applyAlignment="1">
      <alignment horizontal="center"/>
    </xf>
    <xf numFmtId="165" fontId="3" fillId="23" borderId="12" xfId="0" applyNumberFormat="1" applyFont="1" applyFill="1" applyBorder="1"/>
    <xf numFmtId="2" fontId="3" fillId="0" borderId="12" xfId="0" applyNumberFormat="1" applyFont="1" applyBorder="1" applyAlignment="1">
      <alignment horizontal="center"/>
    </xf>
    <xf numFmtId="0" fontId="0" fillId="25" borderId="12" xfId="0" applyFill="1" applyBorder="1" applyAlignment="1">
      <alignment horizontal="left" vertical="center"/>
    </xf>
    <xf numFmtId="20" fontId="3" fillId="0" borderId="12" xfId="0" applyNumberFormat="1" applyFont="1" applyBorder="1"/>
    <xf numFmtId="20" fontId="0" fillId="0" borderId="12" xfId="0" applyNumberFormat="1" applyBorder="1" applyAlignment="1">
      <alignment horizontal="left"/>
    </xf>
    <xf numFmtId="0" fontId="3" fillId="26" borderId="12" xfId="0" applyFont="1" applyFill="1" applyBorder="1"/>
    <xf numFmtId="0" fontId="12" fillId="11" borderId="12" xfId="0" applyFont="1" applyFill="1" applyBorder="1"/>
    <xf numFmtId="0" fontId="21" fillId="11" borderId="12" xfId="0" applyFont="1" applyFill="1" applyBorder="1"/>
    <xf numFmtId="0" fontId="12" fillId="26" borderId="12" xfId="0" applyFont="1" applyFill="1" applyBorder="1"/>
    <xf numFmtId="165" fontId="24" fillId="0" borderId="12" xfId="0" applyNumberFormat="1" applyFont="1" applyBorder="1" applyAlignment="1">
      <alignment horizontal="center" wrapText="1"/>
    </xf>
    <xf numFmtId="16" fontId="3" fillId="0" borderId="12" xfId="0" applyNumberFormat="1" applyFont="1" applyBorder="1" applyAlignment="1">
      <alignment horizontal="center"/>
    </xf>
    <xf numFmtId="0" fontId="21" fillId="23" borderId="12" xfId="0" applyFont="1" applyFill="1" applyBorder="1" applyAlignment="1">
      <alignment horizontal="center"/>
    </xf>
    <xf numFmtId="14" fontId="3" fillId="0" borderId="12" xfId="0" applyNumberFormat="1" applyFont="1" applyBorder="1" applyAlignment="1">
      <alignment horizontal="center"/>
    </xf>
    <xf numFmtId="20" fontId="3" fillId="0" borderId="12" xfId="0" applyNumberFormat="1" applyFont="1" applyBorder="1" applyAlignment="1">
      <alignment horizontal="center"/>
    </xf>
    <xf numFmtId="0" fontId="13" fillId="0" borderId="12" xfId="0" applyFont="1" applyBorder="1" applyAlignment="1">
      <alignment horizontal="left" vertical="center"/>
    </xf>
    <xf numFmtId="169" fontId="3" fillId="23" borderId="12" xfId="0" applyNumberFormat="1" applyFont="1" applyFill="1" applyBorder="1" applyAlignment="1">
      <alignment horizontal="center"/>
    </xf>
    <xf numFmtId="0" fontId="3" fillId="27" borderId="12" xfId="0" applyFont="1" applyFill="1" applyBorder="1" applyAlignment="1">
      <alignment horizontal="center"/>
    </xf>
    <xf numFmtId="0" fontId="21" fillId="27" borderId="12" xfId="0" applyFont="1" applyFill="1" applyBorder="1"/>
    <xf numFmtId="169" fontId="21" fillId="23" borderId="12" xfId="0" applyNumberFormat="1" applyFont="1" applyFill="1" applyBorder="1"/>
    <xf numFmtId="169" fontId="3" fillId="11" borderId="12" xfId="0" applyNumberFormat="1" applyFont="1" applyFill="1" applyBorder="1" applyAlignment="1">
      <alignment horizontal="center"/>
    </xf>
    <xf numFmtId="0" fontId="21" fillId="23" borderId="12" xfId="0" applyFont="1" applyFill="1" applyBorder="1"/>
    <xf numFmtId="18" fontId="3" fillId="0" borderId="12" xfId="0" applyNumberFormat="1" applyFont="1" applyBorder="1" applyAlignment="1">
      <alignment horizontal="center"/>
    </xf>
    <xf numFmtId="0" fontId="12" fillId="0" borderId="12" xfId="0" applyFont="1" applyBorder="1"/>
    <xf numFmtId="170" fontId="3" fillId="0" borderId="12" xfId="0" applyNumberFormat="1" applyFont="1" applyBorder="1" applyAlignment="1">
      <alignment horizontal="center"/>
    </xf>
    <xf numFmtId="0" fontId="12" fillId="15" borderId="12" xfId="0" applyFont="1" applyFill="1" applyBorder="1"/>
    <xf numFmtId="0" fontId="3" fillId="23" borderId="12" xfId="0" applyFont="1" applyFill="1" applyBorder="1" applyAlignment="1">
      <alignment vertical="center"/>
    </xf>
    <xf numFmtId="165" fontId="27" fillId="22" borderId="12" xfId="0" applyNumberFormat="1" applyFont="1" applyFill="1" applyBorder="1"/>
    <xf numFmtId="0" fontId="20" fillId="0" borderId="12" xfId="0" applyFont="1" applyBorder="1"/>
    <xf numFmtId="0" fontId="24" fillId="0" borderId="12" xfId="0" applyFont="1" applyBorder="1" applyAlignment="1">
      <alignment horizontal="center" vertical="center" wrapText="1"/>
    </xf>
    <xf numFmtId="0" fontId="3" fillId="0" borderId="21" xfId="0" applyFont="1" applyBorder="1" applyAlignment="1">
      <alignment horizontal="center" vertical="center" wrapText="1"/>
    </xf>
    <xf numFmtId="0" fontId="3" fillId="2" borderId="12" xfId="0" applyFont="1" applyFill="1" applyBorder="1" applyAlignment="1">
      <alignment horizontal="center" vertical="center" wrapText="1"/>
    </xf>
    <xf numFmtId="0" fontId="3" fillId="3" borderId="12" xfId="0" applyFont="1" applyFill="1" applyBorder="1" applyAlignment="1">
      <alignment horizontal="center" vertical="center" wrapText="1"/>
    </xf>
    <xf numFmtId="0" fontId="3" fillId="4" borderId="12" xfId="0" applyFont="1" applyFill="1" applyBorder="1" applyAlignment="1">
      <alignment horizontal="center" vertical="center" wrapText="1"/>
    </xf>
    <xf numFmtId="0" fontId="3" fillId="8" borderId="12" xfId="0" applyFont="1" applyFill="1" applyBorder="1" applyAlignment="1">
      <alignment horizontal="center" vertical="center" wrapText="1"/>
    </xf>
    <xf numFmtId="0" fontId="3" fillId="5" borderId="12" xfId="0" applyFont="1" applyFill="1" applyBorder="1" applyAlignment="1">
      <alignment horizontal="center" vertical="center" wrapText="1"/>
    </xf>
    <xf numFmtId="0" fontId="6" fillId="0" borderId="12" xfId="0" applyFont="1" applyBorder="1" applyAlignment="1">
      <alignment horizontal="center" vertical="center" wrapText="1"/>
    </xf>
    <xf numFmtId="0" fontId="3" fillId="7" borderId="12" xfId="0" applyFont="1" applyFill="1" applyBorder="1" applyAlignment="1">
      <alignment horizontal="center" vertical="center" wrapText="1"/>
    </xf>
    <xf numFmtId="0" fontId="7" fillId="0" borderId="12" xfId="0" applyFont="1" applyBorder="1" applyAlignment="1">
      <alignment horizontal="center" vertical="center" wrapText="1"/>
    </xf>
    <xf numFmtId="0" fontId="9" fillId="0" borderId="12" xfId="0" applyFont="1" applyBorder="1" applyAlignment="1">
      <alignment horizontal="center" vertical="center" wrapText="1"/>
    </xf>
    <xf numFmtId="0" fontId="11" fillId="0" borderId="12" xfId="0" applyFont="1" applyBorder="1" applyAlignment="1">
      <alignment horizontal="center" vertical="center" wrapText="1"/>
    </xf>
    <xf numFmtId="0" fontId="3" fillId="20" borderId="12" xfId="0" applyFont="1" applyFill="1" applyBorder="1" applyAlignment="1">
      <alignment horizontal="center" vertical="center" wrapText="1"/>
    </xf>
    <xf numFmtId="0" fontId="18" fillId="0" borderId="12" xfId="0" applyFont="1" applyBorder="1" applyAlignment="1">
      <alignment horizontal="center" vertical="center" wrapText="1"/>
    </xf>
    <xf numFmtId="0" fontId="18" fillId="0" borderId="12" xfId="0" applyFont="1" applyBorder="1" applyAlignment="1">
      <alignment horizontal="center" vertical="center"/>
    </xf>
    <xf numFmtId="0" fontId="26" fillId="0" borderId="12" xfId="0" applyFont="1" applyBorder="1" applyAlignment="1">
      <alignment horizontal="center" vertical="center" wrapText="1"/>
    </xf>
    <xf numFmtId="0" fontId="23" fillId="0" borderId="12" xfId="0" applyFont="1" applyBorder="1" applyAlignment="1">
      <alignment horizontal="center" vertical="center" wrapText="1"/>
    </xf>
    <xf numFmtId="0" fontId="3" fillId="0" borderId="12" xfId="0" applyFont="1" applyBorder="1" applyAlignment="1">
      <alignment horizontal="center" vertical="center"/>
    </xf>
    <xf numFmtId="0" fontId="15" fillId="0" borderId="2" xfId="0" applyFont="1" applyBorder="1" applyAlignment="1">
      <alignment wrapText="1"/>
    </xf>
    <xf numFmtId="16" fontId="12" fillId="21" borderId="12" xfId="0" applyNumberFormat="1" applyFont="1" applyFill="1" applyBorder="1"/>
    <xf numFmtId="0" fontId="12" fillId="21" borderId="12" xfId="0" applyFont="1" applyFill="1" applyBorder="1"/>
    <xf numFmtId="165" fontId="12" fillId="21" borderId="12" xfId="0" applyNumberFormat="1" applyFont="1" applyFill="1" applyBorder="1"/>
    <xf numFmtId="16" fontId="12" fillId="22" borderId="12" xfId="0" applyNumberFormat="1" applyFont="1" applyFill="1" applyBorder="1"/>
    <xf numFmtId="0" fontId="12" fillId="22" borderId="12" xfId="0" applyFont="1" applyFill="1" applyBorder="1"/>
    <xf numFmtId="165" fontId="12" fillId="22" borderId="12" xfId="0" applyNumberFormat="1" applyFont="1" applyFill="1" applyBorder="1"/>
    <xf numFmtId="14" fontId="12" fillId="21" borderId="12" xfId="0" applyNumberFormat="1" applyFont="1" applyFill="1" applyBorder="1"/>
    <xf numFmtId="16" fontId="12" fillId="0" borderId="12" xfId="0" applyNumberFormat="1" applyFont="1" applyBorder="1"/>
    <xf numFmtId="14" fontId="12" fillId="0" borderId="12" xfId="0" applyNumberFormat="1" applyFont="1" applyBorder="1"/>
    <xf numFmtId="14" fontId="0" fillId="0" borderId="12" xfId="0" applyNumberFormat="1" applyBorder="1"/>
    <xf numFmtId="1" fontId="24" fillId="0" borderId="12" xfId="0" applyNumberFormat="1" applyFont="1" applyBorder="1" applyAlignment="1">
      <alignment horizontal="center" wrapText="1"/>
    </xf>
    <xf numFmtId="1" fontId="3" fillId="0" borderId="12" xfId="0" applyNumberFormat="1" applyFont="1" applyBorder="1" applyAlignment="1">
      <alignment horizontal="center"/>
    </xf>
    <xf numFmtId="1" fontId="3" fillId="2" borderId="12" xfId="0" applyNumberFormat="1" applyFont="1" applyFill="1" applyBorder="1" applyAlignment="1">
      <alignment horizontal="center"/>
    </xf>
    <xf numFmtId="1" fontId="3" fillId="3" borderId="12" xfId="0" applyNumberFormat="1" applyFont="1" applyFill="1" applyBorder="1" applyAlignment="1">
      <alignment horizontal="center"/>
    </xf>
    <xf numFmtId="1" fontId="3" fillId="4" borderId="12" xfId="0" applyNumberFormat="1" applyFont="1" applyFill="1" applyBorder="1" applyAlignment="1">
      <alignment horizontal="center"/>
    </xf>
    <xf numFmtId="1" fontId="3" fillId="8" borderId="12" xfId="0" applyNumberFormat="1" applyFont="1" applyFill="1" applyBorder="1" applyAlignment="1">
      <alignment horizontal="center"/>
    </xf>
    <xf numFmtId="1" fontId="3" fillId="5" borderId="12" xfId="0" applyNumberFormat="1" applyFont="1" applyFill="1" applyBorder="1" applyAlignment="1">
      <alignment horizontal="center"/>
    </xf>
    <xf numFmtId="1" fontId="3" fillId="0" borderId="12" xfId="0" applyNumberFormat="1" applyFont="1" applyBorder="1" applyAlignment="1">
      <alignment horizontal="center" wrapText="1"/>
    </xf>
    <xf numFmtId="1" fontId="3" fillId="7" borderId="12" xfId="0" applyNumberFormat="1" applyFont="1" applyFill="1" applyBorder="1" applyAlignment="1">
      <alignment horizontal="center"/>
    </xf>
    <xf numFmtId="1" fontId="7" fillId="0" borderId="12" xfId="0" applyNumberFormat="1" applyFont="1" applyBorder="1" applyAlignment="1">
      <alignment horizontal="center" wrapText="1"/>
    </xf>
    <xf numFmtId="1" fontId="9" fillId="0" borderId="12" xfId="0" applyNumberFormat="1" applyFont="1" applyBorder="1" applyAlignment="1">
      <alignment horizontal="center"/>
    </xf>
    <xf numFmtId="1" fontId="3" fillId="11" borderId="12" xfId="0" applyNumberFormat="1" applyFont="1" applyFill="1" applyBorder="1" applyAlignment="1">
      <alignment horizontal="center"/>
    </xf>
    <xf numFmtId="1" fontId="3" fillId="12" borderId="12" xfId="0" applyNumberFormat="1" applyFont="1" applyFill="1" applyBorder="1" applyAlignment="1">
      <alignment horizontal="center"/>
    </xf>
    <xf numFmtId="1" fontId="11" fillId="0" borderId="12" xfId="0" applyNumberFormat="1" applyFont="1" applyBorder="1" applyAlignment="1">
      <alignment horizontal="center" wrapText="1"/>
    </xf>
    <xf numFmtId="1" fontId="3" fillId="15" borderId="12" xfId="0" applyNumberFormat="1" applyFont="1" applyFill="1" applyBorder="1" applyAlignment="1">
      <alignment horizontal="center"/>
    </xf>
    <xf numFmtId="1" fontId="3" fillId="20" borderId="12" xfId="0" applyNumberFormat="1" applyFont="1" applyFill="1" applyBorder="1" applyAlignment="1">
      <alignment horizontal="center"/>
    </xf>
    <xf numFmtId="1" fontId="3" fillId="23" borderId="12" xfId="0" applyNumberFormat="1" applyFont="1" applyFill="1" applyBorder="1" applyAlignment="1">
      <alignment horizontal="center"/>
    </xf>
    <xf numFmtId="1" fontId="3" fillId="26" borderId="12" xfId="0" applyNumberFormat="1" applyFont="1" applyFill="1" applyBorder="1" applyAlignment="1">
      <alignment horizontal="center"/>
    </xf>
    <xf numFmtId="1" fontId="3" fillId="0" borderId="12" xfId="0" applyNumberFormat="1" applyFont="1" applyBorder="1"/>
    <xf numFmtId="0" fontId="3" fillId="11" borderId="12" xfId="0" applyFont="1" applyFill="1" applyBorder="1" applyAlignment="1">
      <alignment horizontal="left"/>
    </xf>
    <xf numFmtId="169" fontId="3" fillId="0" borderId="12" xfId="0" applyNumberFormat="1" applyFont="1" applyBorder="1" applyAlignment="1">
      <alignment horizontal="center"/>
    </xf>
    <xf numFmtId="16" fontId="3" fillId="0" borderId="12" xfId="0" quotePrefix="1" applyNumberFormat="1" applyFont="1" applyBorder="1"/>
    <xf numFmtId="0" fontId="28" fillId="23" borderId="12" xfId="0" applyFont="1" applyFill="1" applyBorder="1" applyAlignment="1">
      <alignment horizontal="center"/>
    </xf>
    <xf numFmtId="0" fontId="3" fillId="26" borderId="12" xfId="0" applyFont="1" applyFill="1" applyBorder="1" applyAlignment="1">
      <alignment horizontal="center"/>
    </xf>
    <xf numFmtId="18" fontId="12" fillId="0" borderId="13" xfId="0" applyNumberFormat="1" applyFont="1" applyBorder="1"/>
    <xf numFmtId="0" fontId="30" fillId="0" borderId="0" xfId="0" applyFont="1" applyAlignment="1">
      <alignment horizontal="center"/>
    </xf>
    <xf numFmtId="14" fontId="30" fillId="28" borderId="0" xfId="0" applyNumberFormat="1" applyFont="1" applyFill="1" applyAlignment="1">
      <alignment horizontal="center"/>
    </xf>
    <xf numFmtId="170" fontId="30" fillId="28" borderId="0" xfId="0" applyNumberFormat="1" applyFont="1" applyFill="1" applyAlignment="1">
      <alignment horizontal="center"/>
    </xf>
    <xf numFmtId="0" fontId="30" fillId="13" borderId="0" xfId="0" applyFont="1" applyFill="1" applyAlignment="1">
      <alignment horizontal="center"/>
    </xf>
    <xf numFmtId="0" fontId="30" fillId="13" borderId="32" xfId="0" applyFont="1" applyFill="1" applyBorder="1" applyAlignment="1">
      <alignment horizontal="center"/>
    </xf>
    <xf numFmtId="0" fontId="30" fillId="7" borderId="0" xfId="0" applyFont="1" applyFill="1" applyAlignment="1">
      <alignment horizontal="center"/>
    </xf>
    <xf numFmtId="0" fontId="30" fillId="7" borderId="32" xfId="0" applyFont="1" applyFill="1" applyBorder="1" applyAlignment="1">
      <alignment horizontal="center"/>
    </xf>
    <xf numFmtId="0" fontId="30" fillId="0" borderId="0" xfId="0" applyFont="1"/>
    <xf numFmtId="0" fontId="30" fillId="13" borderId="33" xfId="0" applyFont="1" applyFill="1" applyBorder="1" applyAlignment="1">
      <alignment horizontal="center"/>
    </xf>
    <xf numFmtId="170" fontId="30" fillId="28" borderId="9" xfId="0" applyNumberFormat="1" applyFont="1" applyFill="1" applyBorder="1" applyAlignment="1">
      <alignment horizontal="center"/>
    </xf>
    <xf numFmtId="0" fontId="30" fillId="13" borderId="40" xfId="0" applyFont="1" applyFill="1" applyBorder="1" applyAlignment="1">
      <alignment horizontal="center"/>
    </xf>
    <xf numFmtId="0" fontId="30" fillId="13" borderId="41" xfId="0" applyFont="1" applyFill="1" applyBorder="1" applyAlignment="1">
      <alignment horizontal="center"/>
    </xf>
    <xf numFmtId="0" fontId="30" fillId="7" borderId="9" xfId="0" applyFont="1" applyFill="1" applyBorder="1" applyAlignment="1">
      <alignment horizontal="center"/>
    </xf>
    <xf numFmtId="0" fontId="30" fillId="7" borderId="40" xfId="0" applyFont="1" applyFill="1" applyBorder="1" applyAlignment="1">
      <alignment horizontal="center"/>
    </xf>
    <xf numFmtId="0" fontId="30" fillId="0" borderId="9" xfId="0" applyFont="1" applyBorder="1" applyAlignment="1">
      <alignment horizontal="center"/>
    </xf>
    <xf numFmtId="0" fontId="30" fillId="0" borderId="9" xfId="0" applyFont="1" applyBorder="1"/>
    <xf numFmtId="0" fontId="30" fillId="0" borderId="42" xfId="0" applyFont="1" applyBorder="1" applyAlignment="1">
      <alignment horizontal="center"/>
    </xf>
    <xf numFmtId="170" fontId="0" fillId="28" borderId="0" xfId="0" applyNumberFormat="1" applyFill="1" applyAlignment="1">
      <alignment horizontal="center"/>
    </xf>
    <xf numFmtId="0" fontId="30" fillId="0" borderId="0" xfId="0" applyFont="1" applyAlignment="1">
      <alignment horizontal="left"/>
    </xf>
    <xf numFmtId="0" fontId="30" fillId="0" borderId="9" xfId="0" applyFont="1" applyBorder="1" applyAlignment="1">
      <alignment horizontal="left"/>
    </xf>
    <xf numFmtId="16" fontId="0" fillId="0" borderId="12" xfId="0" applyNumberFormat="1" applyBorder="1"/>
    <xf numFmtId="167" fontId="30" fillId="0" borderId="0" xfId="0" applyNumberFormat="1" applyFont="1"/>
    <xf numFmtId="2" fontId="30" fillId="13" borderId="0" xfId="0" applyNumberFormat="1" applyFont="1" applyFill="1" applyAlignment="1">
      <alignment horizontal="center"/>
    </xf>
    <xf numFmtId="2" fontId="30" fillId="13" borderId="32" xfId="0" applyNumberFormat="1" applyFont="1" applyFill="1" applyBorder="1" applyAlignment="1">
      <alignment horizontal="center"/>
    </xf>
    <xf numFmtId="169" fontId="30" fillId="0" borderId="0" xfId="0" applyNumberFormat="1" applyFont="1" applyAlignment="1">
      <alignment horizontal="center"/>
    </xf>
    <xf numFmtId="169" fontId="30" fillId="0" borderId="9" xfId="0" applyNumberFormat="1" applyFont="1" applyBorder="1" applyAlignment="1">
      <alignment horizontal="center"/>
    </xf>
    <xf numFmtId="0" fontId="29" fillId="0" borderId="0" xfId="0" applyFont="1" applyAlignment="1">
      <alignment horizontal="center"/>
    </xf>
    <xf numFmtId="0" fontId="29" fillId="0" borderId="0" xfId="0" applyFont="1"/>
    <xf numFmtId="0" fontId="30" fillId="0" borderId="45" xfId="0" applyFont="1" applyBorder="1" applyAlignment="1">
      <alignment horizontal="center"/>
    </xf>
    <xf numFmtId="0" fontId="30" fillId="10" borderId="0" xfId="0" applyFont="1" applyFill="1" applyAlignment="1">
      <alignment horizontal="center"/>
    </xf>
    <xf numFmtId="0" fontId="35" fillId="0" borderId="0" xfId="0" applyFont="1" applyAlignment="1">
      <alignment horizontal="center"/>
    </xf>
    <xf numFmtId="0" fontId="0" fillId="27" borderId="12" xfId="0" applyFill="1" applyBorder="1"/>
    <xf numFmtId="0" fontId="31" fillId="0" borderId="0" xfId="0" applyFont="1" applyAlignment="1">
      <alignment horizontal="left"/>
    </xf>
    <xf numFmtId="14" fontId="29" fillId="28" borderId="34" xfId="0" applyNumberFormat="1" applyFont="1" applyFill="1" applyBorder="1" applyAlignment="1">
      <alignment horizontal="center" vertical="top" wrapText="1"/>
    </xf>
    <xf numFmtId="170" fontId="29" fillId="28" borderId="34" xfId="0" applyNumberFormat="1" applyFont="1" applyFill="1" applyBorder="1" applyAlignment="1">
      <alignment horizontal="center" vertical="top" wrapText="1"/>
    </xf>
    <xf numFmtId="170" fontId="2" fillId="28" borderId="38" xfId="0" applyNumberFormat="1" applyFont="1" applyFill="1" applyBorder="1" applyAlignment="1">
      <alignment horizontal="center" vertical="top" wrapText="1"/>
    </xf>
    <xf numFmtId="170" fontId="2" fillId="28" borderId="38" xfId="0" applyNumberFormat="1" applyFont="1" applyFill="1" applyBorder="1" applyAlignment="1">
      <alignment horizontal="center" vertical="top"/>
    </xf>
    <xf numFmtId="170" fontId="29" fillId="28" borderId="38" xfId="0" applyNumberFormat="1" applyFont="1" applyFill="1" applyBorder="1" applyAlignment="1">
      <alignment horizontal="center" vertical="top" wrapText="1"/>
    </xf>
    <xf numFmtId="0" fontId="29" fillId="7" borderId="39" xfId="0" applyFont="1" applyFill="1" applyBorder="1" applyAlignment="1">
      <alignment horizontal="center" vertical="top" wrapText="1"/>
    </xf>
    <xf numFmtId="0" fontId="29" fillId="7" borderId="34" xfId="0" applyFont="1" applyFill="1" applyBorder="1" applyAlignment="1">
      <alignment horizontal="center" vertical="top" wrapText="1"/>
    </xf>
    <xf numFmtId="0" fontId="29" fillId="7" borderId="35" xfId="0" applyFont="1" applyFill="1" applyBorder="1" applyAlignment="1">
      <alignment horizontal="center" vertical="top" wrapText="1"/>
    </xf>
    <xf numFmtId="0" fontId="29" fillId="0" borderId="39" xfId="0" applyFont="1" applyBorder="1" applyAlignment="1">
      <alignment horizontal="center" vertical="top" wrapText="1"/>
    </xf>
    <xf numFmtId="0" fontId="29" fillId="0" borderId="34" xfId="0" applyFont="1" applyBorder="1" applyAlignment="1">
      <alignment horizontal="center" vertical="top" wrapText="1"/>
    </xf>
    <xf numFmtId="169" fontId="29" fillId="0" borderId="34" xfId="0" applyNumberFormat="1" applyFont="1" applyBorder="1" applyAlignment="1">
      <alignment horizontal="center" vertical="top" wrapText="1"/>
    </xf>
    <xf numFmtId="0" fontId="32" fillId="0" borderId="34" xfId="0" applyFont="1" applyBorder="1" applyAlignment="1">
      <alignment horizontal="left" vertical="top"/>
    </xf>
    <xf numFmtId="14" fontId="30" fillId="28" borderId="0" xfId="0" applyNumberFormat="1" applyFont="1" applyFill="1" applyAlignment="1">
      <alignment horizontal="center" vertical="top"/>
    </xf>
    <xf numFmtId="170" fontId="30" fillId="28" borderId="0" xfId="0" applyNumberFormat="1" applyFont="1" applyFill="1" applyAlignment="1">
      <alignment horizontal="center" vertical="top"/>
    </xf>
    <xf numFmtId="170" fontId="0" fillId="28" borderId="0" xfId="0" applyNumberFormat="1" applyFill="1" applyAlignment="1">
      <alignment horizontal="center" vertical="top"/>
    </xf>
    <xf numFmtId="0" fontId="30" fillId="13" borderId="0" xfId="0" applyFont="1" applyFill="1" applyAlignment="1">
      <alignment horizontal="center" vertical="top"/>
    </xf>
    <xf numFmtId="0" fontId="30" fillId="13" borderId="32" xfId="0" applyFont="1" applyFill="1" applyBorder="1" applyAlignment="1">
      <alignment horizontal="center" vertical="top"/>
    </xf>
    <xf numFmtId="0" fontId="30" fillId="13" borderId="33" xfId="0" applyFont="1" applyFill="1" applyBorder="1" applyAlignment="1">
      <alignment horizontal="center" vertical="top"/>
    </xf>
    <xf numFmtId="2" fontId="30" fillId="13" borderId="0" xfId="0" applyNumberFormat="1" applyFont="1" applyFill="1" applyAlignment="1">
      <alignment horizontal="center" vertical="top"/>
    </xf>
    <xf numFmtId="2" fontId="30" fillId="13" borderId="32" xfId="0" applyNumberFormat="1" applyFont="1" applyFill="1" applyBorder="1" applyAlignment="1">
      <alignment horizontal="center" vertical="top"/>
    </xf>
    <xf numFmtId="0" fontId="30" fillId="7" borderId="0" xfId="0" applyFont="1" applyFill="1" applyAlignment="1">
      <alignment horizontal="center" vertical="top"/>
    </xf>
    <xf numFmtId="0" fontId="30" fillId="7" borderId="32" xfId="0" applyFont="1" applyFill="1" applyBorder="1" applyAlignment="1">
      <alignment horizontal="center" vertical="top"/>
    </xf>
    <xf numFmtId="3" fontId="30" fillId="0" borderId="0" xfId="0" applyNumberFormat="1" applyFont="1" applyAlignment="1">
      <alignment horizontal="center" vertical="top"/>
    </xf>
    <xf numFmtId="0" fontId="30" fillId="0" borderId="0" xfId="0" applyFont="1" applyAlignment="1">
      <alignment horizontal="center" vertical="top"/>
    </xf>
    <xf numFmtId="169" fontId="30" fillId="0" borderId="0" xfId="0" applyNumberFormat="1" applyFont="1" applyAlignment="1">
      <alignment horizontal="center" vertical="top"/>
    </xf>
    <xf numFmtId="0" fontId="30" fillId="0" borderId="0" xfId="0" applyFont="1" applyAlignment="1">
      <alignment vertical="top"/>
    </xf>
    <xf numFmtId="0" fontId="30" fillId="0" borderId="0" xfId="0" applyFont="1" applyAlignment="1">
      <alignment horizontal="left" vertical="top"/>
    </xf>
    <xf numFmtId="0" fontId="31" fillId="7" borderId="0" xfId="0" applyFont="1" applyFill="1" applyAlignment="1">
      <alignment horizontal="left" vertical="top"/>
    </xf>
    <xf numFmtId="170" fontId="55" fillId="28" borderId="0" xfId="0" applyNumberFormat="1" applyFont="1" applyFill="1" applyAlignment="1">
      <alignment horizontal="right" vertical="top"/>
    </xf>
    <xf numFmtId="14" fontId="30" fillId="28" borderId="42" xfId="0" applyNumberFormat="1" applyFont="1" applyFill="1" applyBorder="1" applyAlignment="1">
      <alignment horizontal="center" vertical="top"/>
    </xf>
    <xf numFmtId="170" fontId="30" fillId="28" borderId="42" xfId="0" applyNumberFormat="1" applyFont="1" applyFill="1" applyBorder="1" applyAlignment="1">
      <alignment horizontal="center" vertical="top"/>
    </xf>
    <xf numFmtId="170" fontId="0" fillId="28" borderId="42" xfId="0" applyNumberFormat="1" applyFill="1" applyBorder="1" applyAlignment="1">
      <alignment horizontal="left" vertical="top"/>
    </xf>
    <xf numFmtId="0" fontId="30" fillId="13" borderId="42" xfId="0" applyFont="1" applyFill="1" applyBorder="1" applyAlignment="1">
      <alignment horizontal="center" vertical="top"/>
    </xf>
    <xf numFmtId="0" fontId="30" fillId="13" borderId="43" xfId="0" applyFont="1" applyFill="1" applyBorder="1" applyAlignment="1">
      <alignment horizontal="center" vertical="top"/>
    </xf>
    <xf numFmtId="0" fontId="30" fillId="13" borderId="44" xfId="0" applyFont="1" applyFill="1" applyBorder="1" applyAlignment="1">
      <alignment horizontal="center" vertical="top"/>
    </xf>
    <xf numFmtId="2" fontId="30" fillId="13" borderId="42" xfId="0" applyNumberFormat="1" applyFont="1" applyFill="1" applyBorder="1" applyAlignment="1">
      <alignment horizontal="center" vertical="top"/>
    </xf>
    <xf numFmtId="2" fontId="30" fillId="13" borderId="43" xfId="0" applyNumberFormat="1" applyFont="1" applyFill="1" applyBorder="1" applyAlignment="1">
      <alignment horizontal="center" vertical="top"/>
    </xf>
    <xf numFmtId="0" fontId="30" fillId="7" borderId="42" xfId="0" applyFont="1" applyFill="1" applyBorder="1" applyAlignment="1">
      <alignment horizontal="center" vertical="top"/>
    </xf>
    <xf numFmtId="0" fontId="30" fillId="7" borderId="43" xfId="0" applyFont="1" applyFill="1" applyBorder="1" applyAlignment="1">
      <alignment horizontal="center" vertical="top"/>
    </xf>
    <xf numFmtId="0" fontId="30" fillId="0" borderId="42" xfId="0" applyFont="1" applyBorder="1" applyAlignment="1">
      <alignment horizontal="center" vertical="top"/>
    </xf>
    <xf numFmtId="169" fontId="30" fillId="0" borderId="42" xfId="0" applyNumberFormat="1" applyFont="1" applyBorder="1" applyAlignment="1">
      <alignment horizontal="center" vertical="top"/>
    </xf>
    <xf numFmtId="0" fontId="30" fillId="0" borderId="42" xfId="0" applyFont="1" applyBorder="1" applyAlignment="1">
      <alignment vertical="top"/>
    </xf>
    <xf numFmtId="0" fontId="33" fillId="0" borderId="42" xfId="0" applyFont="1" applyBorder="1" applyAlignment="1">
      <alignment horizontal="left" vertical="top"/>
    </xf>
    <xf numFmtId="167" fontId="30" fillId="0" borderId="0" xfId="0" applyNumberFormat="1" applyFont="1" applyAlignment="1">
      <alignment vertical="top"/>
    </xf>
    <xf numFmtId="14" fontId="30" fillId="28" borderId="45" xfId="0" applyNumberFormat="1" applyFont="1" applyFill="1" applyBorder="1" applyAlignment="1">
      <alignment horizontal="center" vertical="top"/>
    </xf>
    <xf numFmtId="170" fontId="30" fillId="28" borderId="45" xfId="0" applyNumberFormat="1" applyFont="1" applyFill="1" applyBorder="1" applyAlignment="1">
      <alignment horizontal="center" vertical="top"/>
    </xf>
    <xf numFmtId="170" fontId="0" fillId="28" borderId="45" xfId="0" applyNumberFormat="1" applyFill="1" applyBorder="1" applyAlignment="1">
      <alignment horizontal="center" vertical="top"/>
    </xf>
    <xf numFmtId="0" fontId="30" fillId="13" borderId="45" xfId="0" applyFont="1" applyFill="1" applyBorder="1" applyAlignment="1">
      <alignment horizontal="center" vertical="top"/>
    </xf>
    <xf numFmtId="0" fontId="30" fillId="13" borderId="15" xfId="0" applyFont="1" applyFill="1" applyBorder="1" applyAlignment="1">
      <alignment horizontal="center" vertical="top"/>
    </xf>
    <xf numFmtId="0" fontId="30" fillId="13" borderId="46" xfId="0" applyFont="1" applyFill="1" applyBorder="1" applyAlignment="1">
      <alignment horizontal="center" vertical="top"/>
    </xf>
    <xf numFmtId="2" fontId="30" fillId="13" borderId="45" xfId="0" applyNumberFormat="1" applyFont="1" applyFill="1" applyBorder="1" applyAlignment="1">
      <alignment horizontal="center" vertical="top"/>
    </xf>
    <xf numFmtId="2" fontId="30" fillId="13" borderId="15" xfId="0" applyNumberFormat="1" applyFont="1" applyFill="1" applyBorder="1" applyAlignment="1">
      <alignment horizontal="center" vertical="top"/>
    </xf>
    <xf numFmtId="0" fontId="30" fillId="7" borderId="45" xfId="0" applyFont="1" applyFill="1" applyBorder="1" applyAlignment="1">
      <alignment horizontal="center" vertical="top"/>
    </xf>
    <xf numFmtId="0" fontId="30" fillId="7" borderId="15" xfId="0" applyFont="1" applyFill="1" applyBorder="1" applyAlignment="1">
      <alignment horizontal="center" vertical="top"/>
    </xf>
    <xf numFmtId="3" fontId="30" fillId="0" borderId="45" xfId="0" applyNumberFormat="1" applyFont="1" applyBorder="1" applyAlignment="1">
      <alignment horizontal="center" vertical="top"/>
    </xf>
    <xf numFmtId="0" fontId="30" fillId="0" borderId="45" xfId="0" applyFont="1" applyBorder="1" applyAlignment="1">
      <alignment horizontal="center" vertical="top"/>
    </xf>
    <xf numFmtId="169" fontId="30" fillId="0" borderId="45" xfId="0" applyNumberFormat="1" applyFont="1" applyBorder="1" applyAlignment="1">
      <alignment horizontal="center" vertical="top"/>
    </xf>
    <xf numFmtId="0" fontId="30" fillId="0" borderId="45" xfId="0" applyFont="1" applyBorder="1" applyAlignment="1">
      <alignment horizontal="left" vertical="top"/>
    </xf>
    <xf numFmtId="170" fontId="29" fillId="28" borderId="0" xfId="0" applyNumberFormat="1" applyFont="1" applyFill="1" applyAlignment="1">
      <alignment horizontal="center" vertical="top"/>
    </xf>
    <xf numFmtId="0" fontId="29" fillId="13" borderId="32" xfId="0" applyFont="1" applyFill="1" applyBorder="1" applyAlignment="1">
      <alignment horizontal="center" vertical="top"/>
    </xf>
    <xf numFmtId="0" fontId="29" fillId="13" borderId="33" xfId="0" applyFont="1" applyFill="1" applyBorder="1" applyAlignment="1">
      <alignment horizontal="center" vertical="top"/>
    </xf>
    <xf numFmtId="2" fontId="29" fillId="13" borderId="32" xfId="0" applyNumberFormat="1" applyFont="1" applyFill="1" applyBorder="1" applyAlignment="1">
      <alignment horizontal="center" vertical="top"/>
    </xf>
    <xf numFmtId="0" fontId="29" fillId="7" borderId="32" xfId="0" applyFont="1" applyFill="1" applyBorder="1" applyAlignment="1">
      <alignment horizontal="center" vertical="top"/>
    </xf>
    <xf numFmtId="0" fontId="29" fillId="0" borderId="0" xfId="0" applyFont="1" applyAlignment="1">
      <alignment horizontal="center" vertical="top"/>
    </xf>
    <xf numFmtId="0" fontId="29" fillId="0" borderId="0" xfId="0" applyFont="1" applyAlignment="1">
      <alignment vertical="top"/>
    </xf>
    <xf numFmtId="167" fontId="30" fillId="0" borderId="45" xfId="0" applyNumberFormat="1" applyFont="1" applyBorder="1" applyAlignment="1">
      <alignment vertical="top"/>
    </xf>
    <xf numFmtId="2" fontId="30" fillId="7" borderId="0" xfId="0" applyNumberFormat="1" applyFont="1" applyFill="1" applyAlignment="1">
      <alignment horizontal="center" vertical="top"/>
    </xf>
    <xf numFmtId="14" fontId="36" fillId="28" borderId="9" xfId="0" applyNumberFormat="1" applyFont="1" applyFill="1" applyBorder="1" applyAlignment="1">
      <alignment horizontal="center" vertical="top"/>
    </xf>
    <xf numFmtId="170" fontId="36" fillId="28" borderId="9" xfId="0" applyNumberFormat="1" applyFont="1" applyFill="1" applyBorder="1" applyAlignment="1">
      <alignment horizontal="center" vertical="top"/>
    </xf>
    <xf numFmtId="170" fontId="37" fillId="28" borderId="9" xfId="0" applyNumberFormat="1" applyFont="1" applyFill="1" applyBorder="1" applyAlignment="1">
      <alignment horizontal="center" vertical="top"/>
    </xf>
    <xf numFmtId="0" fontId="30" fillId="13" borderId="9" xfId="0" applyFont="1" applyFill="1" applyBorder="1" applyAlignment="1">
      <alignment horizontal="center" vertical="top"/>
    </xf>
    <xf numFmtId="0" fontId="30" fillId="13" borderId="40" xfId="0" applyFont="1" applyFill="1" applyBorder="1" applyAlignment="1">
      <alignment horizontal="center" vertical="top"/>
    </xf>
    <xf numFmtId="0" fontId="30" fillId="13" borderId="41" xfId="0" applyFont="1" applyFill="1" applyBorder="1" applyAlignment="1">
      <alignment horizontal="center" vertical="top"/>
    </xf>
    <xf numFmtId="2" fontId="30" fillId="13" borderId="9" xfId="0" applyNumberFormat="1" applyFont="1" applyFill="1" applyBorder="1" applyAlignment="1">
      <alignment horizontal="center" vertical="top"/>
    </xf>
    <xf numFmtId="2" fontId="30" fillId="13" borderId="40" xfId="0" applyNumberFormat="1" applyFont="1" applyFill="1" applyBorder="1" applyAlignment="1">
      <alignment horizontal="center" vertical="top"/>
    </xf>
    <xf numFmtId="0" fontId="30" fillId="7" borderId="9" xfId="0" applyFont="1" applyFill="1" applyBorder="1" applyAlignment="1">
      <alignment horizontal="center" vertical="top"/>
    </xf>
    <xf numFmtId="0" fontId="30" fillId="7" borderId="40" xfId="0" applyFont="1" applyFill="1" applyBorder="1" applyAlignment="1">
      <alignment horizontal="center" vertical="top"/>
    </xf>
    <xf numFmtId="0" fontId="30" fillId="0" borderId="9" xfId="0" applyFont="1" applyBorder="1" applyAlignment="1">
      <alignment horizontal="center" vertical="top"/>
    </xf>
    <xf numFmtId="169" fontId="30" fillId="0" borderId="9" xfId="0" applyNumberFormat="1" applyFont="1" applyBorder="1" applyAlignment="1">
      <alignment horizontal="center" vertical="top"/>
    </xf>
    <xf numFmtId="0" fontId="30" fillId="0" borderId="9" xfId="0" applyFont="1" applyBorder="1" applyAlignment="1">
      <alignment vertical="top"/>
    </xf>
    <xf numFmtId="0" fontId="30" fillId="0" borderId="9" xfId="0" applyFont="1" applyBorder="1" applyAlignment="1">
      <alignment horizontal="left" vertical="top"/>
    </xf>
    <xf numFmtId="14" fontId="36" fillId="28" borderId="0" xfId="0" applyNumberFormat="1" applyFont="1" applyFill="1" applyAlignment="1">
      <alignment horizontal="center" vertical="top"/>
    </xf>
    <xf numFmtId="170" fontId="36" fillId="28" borderId="0" xfId="0" applyNumberFormat="1" applyFont="1" applyFill="1" applyAlignment="1">
      <alignment horizontal="center" vertical="top"/>
    </xf>
    <xf numFmtId="170" fontId="37" fillId="28" borderId="0" xfId="0" applyNumberFormat="1" applyFont="1" applyFill="1" applyAlignment="1">
      <alignment horizontal="center" vertical="top"/>
    </xf>
    <xf numFmtId="0" fontId="35" fillId="0" borderId="0" xfId="0" applyFont="1" applyAlignment="1">
      <alignment horizontal="center" vertical="top"/>
    </xf>
    <xf numFmtId="3" fontId="35" fillId="0" borderId="0" xfId="0" applyNumberFormat="1" applyFont="1" applyAlignment="1">
      <alignment horizontal="center" vertical="top"/>
    </xf>
    <xf numFmtId="14" fontId="30" fillId="28" borderId="9" xfId="0" applyNumberFormat="1" applyFont="1" applyFill="1" applyBorder="1" applyAlignment="1">
      <alignment horizontal="center" vertical="top"/>
    </xf>
    <xf numFmtId="170" fontId="30" fillId="28" borderId="9" xfId="0" applyNumberFormat="1" applyFont="1" applyFill="1" applyBorder="1" applyAlignment="1">
      <alignment horizontal="center" vertical="top"/>
    </xf>
    <xf numFmtId="170" fontId="0" fillId="28" borderId="9" xfId="0" applyNumberFormat="1" applyFill="1" applyBorder="1" applyAlignment="1">
      <alignment horizontal="center" vertical="top"/>
    </xf>
    <xf numFmtId="0" fontId="29" fillId="13" borderId="9" xfId="0" applyFont="1" applyFill="1" applyBorder="1" applyAlignment="1">
      <alignment horizontal="center" vertical="top"/>
    </xf>
    <xf numFmtId="0" fontId="29" fillId="13" borderId="40" xfId="0" applyFont="1" applyFill="1" applyBorder="1" applyAlignment="1">
      <alignment horizontal="center" vertical="top"/>
    </xf>
    <xf numFmtId="0" fontId="29" fillId="13" borderId="41" xfId="0" applyFont="1" applyFill="1" applyBorder="1" applyAlignment="1">
      <alignment horizontal="center" vertical="top"/>
    </xf>
    <xf numFmtId="2" fontId="29" fillId="13" borderId="9" xfId="0" applyNumberFormat="1" applyFont="1" applyFill="1" applyBorder="1" applyAlignment="1">
      <alignment horizontal="center" vertical="top"/>
    </xf>
    <xf numFmtId="2" fontId="29" fillId="13" borderId="40" xfId="0" applyNumberFormat="1" applyFont="1" applyFill="1" applyBorder="1" applyAlignment="1">
      <alignment horizontal="center" vertical="top"/>
    </xf>
    <xf numFmtId="2" fontId="30" fillId="7" borderId="9" xfId="0" applyNumberFormat="1" applyFont="1" applyFill="1" applyBorder="1" applyAlignment="1">
      <alignment horizontal="center" vertical="top"/>
    </xf>
    <xf numFmtId="167" fontId="30" fillId="0" borderId="9" xfId="0" applyNumberFormat="1" applyFont="1" applyBorder="1" applyAlignment="1">
      <alignment vertical="top"/>
    </xf>
    <xf numFmtId="2" fontId="35" fillId="7" borderId="0" xfId="0" applyNumberFormat="1" applyFont="1" applyFill="1" applyAlignment="1">
      <alignment horizontal="center" vertical="top"/>
    </xf>
    <xf numFmtId="0" fontId="35" fillId="7" borderId="0" xfId="0" applyFont="1" applyFill="1" applyAlignment="1">
      <alignment horizontal="center" vertical="top"/>
    </xf>
    <xf numFmtId="0" fontId="35" fillId="7" borderId="32" xfId="0" applyFont="1" applyFill="1" applyBorder="1" applyAlignment="1">
      <alignment horizontal="center" vertical="top"/>
    </xf>
    <xf numFmtId="2" fontId="30" fillId="13" borderId="33" xfId="0" applyNumberFormat="1" applyFont="1" applyFill="1" applyBorder="1" applyAlignment="1">
      <alignment horizontal="center" vertical="top"/>
    </xf>
    <xf numFmtId="14" fontId="35" fillId="28" borderId="0" xfId="0" applyNumberFormat="1" applyFont="1" applyFill="1" applyAlignment="1">
      <alignment horizontal="center" vertical="top"/>
    </xf>
    <xf numFmtId="170" fontId="35" fillId="28" borderId="0" xfId="0" applyNumberFormat="1" applyFont="1" applyFill="1" applyAlignment="1">
      <alignment horizontal="center" vertical="top"/>
    </xf>
    <xf numFmtId="0" fontId="30" fillId="5" borderId="0" xfId="0" applyFont="1" applyFill="1" applyAlignment="1">
      <alignment horizontal="center" vertical="top"/>
    </xf>
    <xf numFmtId="167" fontId="35" fillId="0" borderId="0" xfId="0" applyNumberFormat="1" applyFont="1" applyAlignment="1">
      <alignment horizontal="center" vertical="top"/>
    </xf>
    <xf numFmtId="169" fontId="35" fillId="0" borderId="0" xfId="0" applyNumberFormat="1" applyFont="1" applyAlignment="1">
      <alignment horizontal="center" vertical="top"/>
    </xf>
    <xf numFmtId="2" fontId="30" fillId="13" borderId="47" xfId="0" applyNumberFormat="1" applyFont="1" applyFill="1" applyBorder="1" applyAlignment="1">
      <alignment horizontal="center" vertical="top"/>
    </xf>
    <xf numFmtId="2" fontId="30" fillId="13" borderId="48" xfId="0" applyNumberFormat="1" applyFont="1" applyFill="1" applyBorder="1" applyAlignment="1">
      <alignment horizontal="center" vertical="top"/>
    </xf>
    <xf numFmtId="2" fontId="30" fillId="13" borderId="49" xfId="0" applyNumberFormat="1" applyFont="1" applyFill="1" applyBorder="1" applyAlignment="1">
      <alignment horizontal="center" vertical="top"/>
    </xf>
    <xf numFmtId="0" fontId="29" fillId="7" borderId="47" xfId="0" applyFont="1" applyFill="1" applyBorder="1" applyAlignment="1">
      <alignment horizontal="center" vertical="top"/>
    </xf>
    <xf numFmtId="0" fontId="29" fillId="7" borderId="48" xfId="0" applyFont="1" applyFill="1" applyBorder="1" applyAlignment="1">
      <alignment horizontal="center" vertical="top"/>
    </xf>
    <xf numFmtId="0" fontId="35" fillId="0" borderId="47" xfId="0" applyFont="1" applyBorder="1" applyAlignment="1">
      <alignment horizontal="center" vertical="top"/>
    </xf>
    <xf numFmtId="0" fontId="30" fillId="0" borderId="47" xfId="0" applyFont="1" applyBorder="1" applyAlignment="1">
      <alignment horizontal="center" vertical="top"/>
    </xf>
    <xf numFmtId="169" fontId="30" fillId="0" borderId="47" xfId="0" applyNumberFormat="1" applyFont="1" applyBorder="1" applyAlignment="1">
      <alignment horizontal="center" vertical="top"/>
    </xf>
    <xf numFmtId="0" fontId="38" fillId="30" borderId="0" xfId="0" applyFont="1" applyFill="1" applyAlignment="1">
      <alignment horizontal="right" vertical="top"/>
    </xf>
    <xf numFmtId="0" fontId="38" fillId="30" borderId="32" xfId="0" applyFont="1" applyFill="1" applyBorder="1" applyAlignment="1">
      <alignment horizontal="right" vertical="top"/>
    </xf>
    <xf numFmtId="0" fontId="40" fillId="0" borderId="0" xfId="0" applyFont="1" applyAlignment="1">
      <alignment horizontal="center" vertical="top"/>
    </xf>
    <xf numFmtId="0" fontId="38" fillId="30" borderId="9" xfId="0" applyFont="1" applyFill="1" applyBorder="1" applyAlignment="1">
      <alignment horizontal="right" vertical="top"/>
    </xf>
    <xf numFmtId="0" fontId="38" fillId="30" borderId="40" xfId="0" applyFont="1" applyFill="1" applyBorder="1" applyAlignment="1">
      <alignment horizontal="right" vertical="top"/>
    </xf>
    <xf numFmtId="2" fontId="30" fillId="13" borderId="50" xfId="0" applyNumberFormat="1" applyFont="1" applyFill="1" applyBorder="1" applyAlignment="1">
      <alignment horizontal="center" vertical="top"/>
    </xf>
    <xf numFmtId="0" fontId="30" fillId="7" borderId="50" xfId="0" applyFont="1" applyFill="1" applyBorder="1" applyAlignment="1">
      <alignment horizontal="center" vertical="top"/>
    </xf>
    <xf numFmtId="2" fontId="30" fillId="13" borderId="28" xfId="0" applyNumberFormat="1" applyFont="1" applyFill="1" applyBorder="1" applyAlignment="1">
      <alignment horizontal="center" vertical="top"/>
    </xf>
    <xf numFmtId="0" fontId="41" fillId="0" borderId="0" xfId="0" applyFont="1" applyAlignment="1">
      <alignment horizontal="right" vertical="top"/>
    </xf>
    <xf numFmtId="0" fontId="31" fillId="0" borderId="0" xfId="0" applyFont="1" applyAlignment="1">
      <alignment horizontal="left" vertical="top"/>
    </xf>
    <xf numFmtId="0" fontId="43" fillId="5" borderId="0" xfId="0" applyFont="1" applyFill="1" applyAlignment="1">
      <alignment horizontal="right" vertical="top"/>
    </xf>
    <xf numFmtId="0" fontId="42" fillId="0" borderId="0" xfId="0" applyFont="1" applyAlignment="1">
      <alignment horizontal="left" vertical="top"/>
    </xf>
    <xf numFmtId="0" fontId="42" fillId="31" borderId="0" xfId="0" applyFont="1" applyFill="1" applyAlignment="1">
      <alignment horizontal="left" vertical="top"/>
    </xf>
    <xf numFmtId="0" fontId="51" fillId="0" borderId="0" xfId="0" applyFont="1" applyAlignment="1">
      <alignment horizontal="left" vertical="top"/>
    </xf>
    <xf numFmtId="0" fontId="52" fillId="0" borderId="0" xfId="0" applyFont="1" applyAlignment="1">
      <alignment horizontal="left" vertical="top"/>
    </xf>
    <xf numFmtId="169" fontId="29" fillId="0" borderId="9" xfId="0" applyNumberFormat="1" applyFont="1" applyBorder="1" applyAlignment="1">
      <alignment horizontal="center" vertical="top"/>
    </xf>
    <xf numFmtId="0" fontId="43" fillId="0" borderId="9" xfId="0" applyFont="1" applyBorder="1" applyAlignment="1">
      <alignment horizontal="right" vertical="top"/>
    </xf>
    <xf numFmtId="169" fontId="54" fillId="25" borderId="0" xfId="0" applyNumberFormat="1" applyFont="1" applyFill="1" applyAlignment="1">
      <alignment horizontal="center" vertical="top"/>
    </xf>
    <xf numFmtId="0" fontId="45" fillId="0" borderId="0" xfId="0" applyFont="1" applyAlignment="1">
      <alignment horizontal="left" vertical="top"/>
    </xf>
    <xf numFmtId="169" fontId="41" fillId="0" borderId="0" xfId="0" applyNumberFormat="1" applyFont="1" applyAlignment="1">
      <alignment horizontal="right" vertical="top"/>
    </xf>
    <xf numFmtId="169" fontId="54" fillId="0" borderId="0" xfId="0" applyNumberFormat="1" applyFont="1" applyAlignment="1">
      <alignment horizontal="center" vertical="top"/>
    </xf>
    <xf numFmtId="0" fontId="44" fillId="0" borderId="0" xfId="0" applyFont="1" applyAlignment="1">
      <alignment vertical="top"/>
    </xf>
    <xf numFmtId="0" fontId="46" fillId="0" borderId="0" xfId="0" applyFont="1" applyAlignment="1">
      <alignment horizontal="left" vertical="top"/>
    </xf>
    <xf numFmtId="0" fontId="30" fillId="27" borderId="0" xfId="0" applyFont="1" applyFill="1" applyAlignment="1">
      <alignment horizontal="center" vertical="top"/>
    </xf>
    <xf numFmtId="0" fontId="30" fillId="27" borderId="32" xfId="0" applyFont="1" applyFill="1" applyBorder="1" applyAlignment="1">
      <alignment horizontal="center" vertical="top"/>
    </xf>
    <xf numFmtId="0" fontId="41" fillId="0" borderId="0" xfId="0" applyFont="1" applyAlignment="1">
      <alignment horizontal="left" vertical="top"/>
    </xf>
    <xf numFmtId="0" fontId="49" fillId="0" borderId="0" xfId="0" applyFont="1" applyAlignment="1">
      <alignment horizontal="left" vertical="top"/>
    </xf>
    <xf numFmtId="169" fontId="30" fillId="0" borderId="0" xfId="0" applyNumberFormat="1" applyFont="1" applyAlignment="1">
      <alignment horizontal="left" vertical="top"/>
    </xf>
    <xf numFmtId="0" fontId="47" fillId="0" borderId="0" xfId="0" applyFont="1" applyAlignment="1">
      <alignment horizontal="left" vertical="top"/>
    </xf>
    <xf numFmtId="0" fontId="53" fillId="0" borderId="0" xfId="0" applyFont="1" applyAlignment="1">
      <alignment horizontal="left" vertical="top"/>
    </xf>
    <xf numFmtId="0" fontId="47" fillId="0" borderId="0" xfId="0" applyFont="1" applyAlignment="1">
      <alignment vertical="top"/>
    </xf>
    <xf numFmtId="0" fontId="50" fillId="0" borderId="0" xfId="0" applyFont="1" applyAlignment="1">
      <alignment horizontal="left" vertical="top"/>
    </xf>
    <xf numFmtId="0" fontId="48" fillId="0" borderId="0" xfId="0" applyFont="1" applyAlignment="1">
      <alignment horizontal="left" vertical="top"/>
    </xf>
    <xf numFmtId="0" fontId="30" fillId="13" borderId="28" xfId="0" applyFont="1" applyFill="1" applyBorder="1" applyAlignment="1">
      <alignment horizontal="center" vertical="top"/>
    </xf>
    <xf numFmtId="0" fontId="35" fillId="0" borderId="0" xfId="0" applyFont="1" applyAlignment="1">
      <alignment horizontal="left" vertical="top" wrapText="1"/>
    </xf>
    <xf numFmtId="0" fontId="35" fillId="0" borderId="0" xfId="0" applyFont="1" applyAlignment="1">
      <alignment horizontal="left" vertical="top"/>
    </xf>
    <xf numFmtId="0" fontId="57" fillId="0" borderId="0" xfId="0" applyFont="1" applyAlignment="1">
      <alignment horizontal="center"/>
    </xf>
    <xf numFmtId="0" fontId="12" fillId="5" borderId="8" xfId="0" applyFont="1" applyFill="1" applyBorder="1"/>
    <xf numFmtId="0" fontId="12" fillId="5" borderId="10" xfId="0" applyFont="1" applyFill="1" applyBorder="1"/>
    <xf numFmtId="0" fontId="12" fillId="5" borderId="0" xfId="0" applyFont="1" applyFill="1" applyAlignment="1">
      <alignment wrapText="1"/>
    </xf>
    <xf numFmtId="0" fontId="17" fillId="0" borderId="0" xfId="0" applyFont="1"/>
    <xf numFmtId="0" fontId="58" fillId="0" borderId="12" xfId="0" applyFont="1" applyBorder="1" applyAlignment="1">
      <alignment horizontal="center"/>
    </xf>
    <xf numFmtId="0" fontId="56" fillId="32" borderId="0" xfId="1" applyAlignment="1">
      <alignment horizontal="left" vertical="top"/>
    </xf>
    <xf numFmtId="170" fontId="56" fillId="32" borderId="0" xfId="1" applyNumberFormat="1" applyAlignment="1">
      <alignment horizontal="center" vertical="top"/>
    </xf>
    <xf numFmtId="49" fontId="29" fillId="0" borderId="34" xfId="0" applyNumberFormat="1" applyFont="1" applyBorder="1" applyAlignment="1">
      <alignment horizontal="center" vertical="top" wrapText="1"/>
    </xf>
    <xf numFmtId="49" fontId="30" fillId="0" borderId="0" xfId="0" applyNumberFormat="1" applyFont="1" applyAlignment="1">
      <alignment horizontal="center" vertical="top"/>
    </xf>
    <xf numFmtId="49" fontId="30" fillId="0" borderId="42" xfId="0" applyNumberFormat="1" applyFont="1" applyBorder="1" applyAlignment="1">
      <alignment horizontal="center" vertical="top"/>
    </xf>
    <xf numFmtId="49" fontId="30" fillId="0" borderId="45" xfId="0" applyNumberFormat="1" applyFont="1" applyBorder="1" applyAlignment="1">
      <alignment horizontal="center" vertical="top"/>
    </xf>
    <xf numFmtId="49" fontId="30" fillId="0" borderId="9" xfId="0" applyNumberFormat="1" applyFont="1" applyBorder="1" applyAlignment="1">
      <alignment horizontal="center" vertical="top"/>
    </xf>
    <xf numFmtId="49" fontId="30" fillId="0" borderId="0" xfId="0" applyNumberFormat="1" applyFont="1" applyAlignment="1">
      <alignment horizontal="center"/>
    </xf>
    <xf numFmtId="49" fontId="30" fillId="0" borderId="9" xfId="0" applyNumberFormat="1" applyFont="1" applyBorder="1" applyAlignment="1">
      <alignment horizontal="center"/>
    </xf>
    <xf numFmtId="0" fontId="30" fillId="0" borderId="21" xfId="0" applyFont="1" applyBorder="1"/>
    <xf numFmtId="0" fontId="30" fillId="0" borderId="17" xfId="0" applyFont="1" applyBorder="1"/>
    <xf numFmtId="3" fontId="30" fillId="0" borderId="0" xfId="0" applyNumberFormat="1" applyFont="1" applyAlignment="1">
      <alignment horizontal="center"/>
    </xf>
    <xf numFmtId="169" fontId="59" fillId="0" borderId="0" xfId="0" applyNumberFormat="1" applyFont="1" applyAlignment="1">
      <alignment horizontal="center"/>
    </xf>
    <xf numFmtId="0" fontId="7" fillId="0" borderId="0" xfId="0" applyFont="1" applyAlignment="1">
      <alignment horizontal="right"/>
    </xf>
    <xf numFmtId="14" fontId="30" fillId="28" borderId="47" xfId="0" applyNumberFormat="1" applyFont="1" applyFill="1" applyBorder="1" applyAlignment="1">
      <alignment horizontal="center" vertical="top"/>
    </xf>
    <xf numFmtId="170" fontId="30" fillId="28" borderId="47" xfId="0" applyNumberFormat="1" applyFont="1" applyFill="1" applyBorder="1" applyAlignment="1">
      <alignment horizontal="center" vertical="top"/>
    </xf>
    <xf numFmtId="170" fontId="0" fillId="28" borderId="47" xfId="0" applyNumberFormat="1" applyFill="1" applyBorder="1" applyAlignment="1">
      <alignment horizontal="center" vertical="top"/>
    </xf>
    <xf numFmtId="170" fontId="30" fillId="28" borderId="47" xfId="0" applyNumberFormat="1" applyFont="1" applyFill="1" applyBorder="1" applyAlignment="1">
      <alignment horizontal="center"/>
    </xf>
    <xf numFmtId="0" fontId="30" fillId="7" borderId="47" xfId="0" applyFont="1" applyFill="1" applyBorder="1" applyAlignment="1">
      <alignment horizontal="center"/>
    </xf>
    <xf numFmtId="0" fontId="30" fillId="7" borderId="48" xfId="0" applyFont="1" applyFill="1" applyBorder="1" applyAlignment="1">
      <alignment horizontal="center"/>
    </xf>
    <xf numFmtId="0" fontId="30" fillId="0" borderId="47" xfId="0" applyFont="1" applyBorder="1" applyAlignment="1">
      <alignment horizontal="center"/>
    </xf>
    <xf numFmtId="169" fontId="30" fillId="0" borderId="47" xfId="0" applyNumberFormat="1" applyFont="1" applyBorder="1" applyAlignment="1">
      <alignment horizontal="center"/>
    </xf>
    <xf numFmtId="49" fontId="30" fillId="0" borderId="47" xfId="0" applyNumberFormat="1" applyFont="1" applyBorder="1" applyAlignment="1">
      <alignment horizontal="center"/>
    </xf>
    <xf numFmtId="0" fontId="30" fillId="0" borderId="47" xfId="0" applyFont="1" applyBorder="1"/>
    <xf numFmtId="0" fontId="30" fillId="0" borderId="47" xfId="0" applyFont="1" applyBorder="1" applyAlignment="1">
      <alignment horizontal="left"/>
    </xf>
    <xf numFmtId="0" fontId="30" fillId="13" borderId="47" xfId="0" applyFont="1" applyFill="1" applyBorder="1" applyAlignment="1">
      <alignment horizontal="center" vertical="top"/>
    </xf>
    <xf numFmtId="0" fontId="30" fillId="13" borderId="49" xfId="0" applyFont="1" applyFill="1" applyBorder="1" applyAlignment="1">
      <alignment horizontal="center"/>
    </xf>
    <xf numFmtId="0" fontId="30" fillId="13" borderId="48" xfId="0" applyFont="1" applyFill="1" applyBorder="1" applyAlignment="1">
      <alignment horizontal="center"/>
    </xf>
    <xf numFmtId="18" fontId="30" fillId="0" borderId="0" xfId="0" applyNumberFormat="1" applyFont="1" applyAlignment="1">
      <alignment horizontal="left"/>
    </xf>
    <xf numFmtId="0" fontId="30" fillId="0" borderId="0" xfId="0" applyFont="1" applyAlignment="1">
      <alignment horizontal="right"/>
    </xf>
    <xf numFmtId="0" fontId="12" fillId="29" borderId="17" xfId="0" applyFont="1" applyFill="1" applyBorder="1" applyAlignment="1">
      <alignment vertical="top"/>
    </xf>
    <xf numFmtId="0" fontId="29" fillId="28" borderId="51" xfId="0" applyFont="1" applyFill="1" applyBorder="1" applyAlignment="1">
      <alignment horizontal="center" vertical="top" wrapText="1"/>
    </xf>
    <xf numFmtId="0" fontId="30" fillId="28" borderId="52" xfId="0" applyFont="1" applyFill="1" applyBorder="1" applyAlignment="1">
      <alignment horizontal="center" vertical="top"/>
    </xf>
    <xf numFmtId="0" fontId="30" fillId="28" borderId="53" xfId="0" applyFont="1" applyFill="1" applyBorder="1" applyAlignment="1">
      <alignment horizontal="center" vertical="top"/>
    </xf>
    <xf numFmtId="0" fontId="30" fillId="28" borderId="54" xfId="0" applyFont="1" applyFill="1" applyBorder="1" applyAlignment="1">
      <alignment horizontal="center" vertical="top"/>
    </xf>
    <xf numFmtId="0" fontId="29" fillId="28" borderId="52" xfId="0" applyFont="1" applyFill="1" applyBorder="1" applyAlignment="1">
      <alignment horizontal="center" vertical="top"/>
    </xf>
    <xf numFmtId="0" fontId="36" fillId="28" borderId="55" xfId="0" applyFont="1" applyFill="1" applyBorder="1" applyAlignment="1">
      <alignment horizontal="center" vertical="top"/>
    </xf>
    <xf numFmtId="0" fontId="36" fillId="28" borderId="52" xfId="0" applyFont="1" applyFill="1" applyBorder="1" applyAlignment="1">
      <alignment horizontal="center" vertical="top"/>
    </xf>
    <xf numFmtId="0" fontId="30" fillId="28" borderId="55" xfId="0" applyFont="1" applyFill="1" applyBorder="1" applyAlignment="1">
      <alignment horizontal="center" vertical="top"/>
    </xf>
    <xf numFmtId="0" fontId="30" fillId="28" borderId="52" xfId="0" applyFont="1" applyFill="1" applyBorder="1" applyAlignment="1">
      <alignment horizontal="center"/>
    </xf>
    <xf numFmtId="0" fontId="30" fillId="28" borderId="56" xfId="0" applyFont="1" applyFill="1" applyBorder="1" applyAlignment="1">
      <alignment horizontal="center" vertical="top"/>
    </xf>
    <xf numFmtId="0" fontId="12" fillId="29" borderId="21" xfId="0" applyFont="1" applyFill="1" applyBorder="1" applyAlignment="1">
      <alignment vertical="top"/>
    </xf>
    <xf numFmtId="2" fontId="12" fillId="29" borderId="57" xfId="0" applyNumberFormat="1" applyFont="1" applyFill="1" applyBorder="1" applyAlignment="1">
      <alignment vertical="top"/>
    </xf>
    <xf numFmtId="0" fontId="38" fillId="30" borderId="33" xfId="0" applyFont="1" applyFill="1" applyBorder="1" applyAlignment="1">
      <alignment horizontal="right" vertical="top"/>
    </xf>
    <xf numFmtId="2" fontId="38" fillId="30" borderId="33" xfId="0" applyNumberFormat="1" applyFont="1" applyFill="1" applyBorder="1" applyAlignment="1">
      <alignment horizontal="right" vertical="top"/>
    </xf>
    <xf numFmtId="0" fontId="39" fillId="30" borderId="33" xfId="0" applyFont="1" applyFill="1" applyBorder="1" applyAlignment="1">
      <alignment horizontal="right" vertical="top"/>
    </xf>
    <xf numFmtId="0" fontId="38" fillId="30" borderId="41" xfId="0" applyFont="1" applyFill="1" applyBorder="1" applyAlignment="1">
      <alignment horizontal="right" vertical="top"/>
    </xf>
    <xf numFmtId="2" fontId="12" fillId="29" borderId="58" xfId="0" applyNumberFormat="1" applyFont="1" applyFill="1" applyBorder="1" applyAlignment="1">
      <alignment vertical="top"/>
    </xf>
    <xf numFmtId="0" fontId="39" fillId="30" borderId="32" xfId="0" applyFont="1" applyFill="1" applyBorder="1" applyAlignment="1">
      <alignment horizontal="right" vertical="top"/>
    </xf>
    <xf numFmtId="3" fontId="30" fillId="0" borderId="0" xfId="0" applyNumberFormat="1" applyFont="1"/>
    <xf numFmtId="4" fontId="30" fillId="0" borderId="0" xfId="0" applyNumberFormat="1" applyFont="1"/>
    <xf numFmtId="169" fontId="60" fillId="0" borderId="0" xfId="0" applyNumberFormat="1" applyFont="1" applyAlignment="1">
      <alignment horizontal="right"/>
    </xf>
    <xf numFmtId="0" fontId="30" fillId="28" borderId="55" xfId="0" applyFont="1" applyFill="1" applyBorder="1" applyAlignment="1">
      <alignment horizontal="center"/>
    </xf>
    <xf numFmtId="170" fontId="0" fillId="28" borderId="9" xfId="0" applyNumberFormat="1" applyFill="1" applyBorder="1" applyAlignment="1">
      <alignment horizontal="center"/>
    </xf>
    <xf numFmtId="165" fontId="63" fillId="22" borderId="12" xfId="0" applyNumberFormat="1" applyFont="1" applyFill="1" applyBorder="1"/>
    <xf numFmtId="0" fontId="64" fillId="0" borderId="0" xfId="0" applyFont="1"/>
    <xf numFmtId="0" fontId="12" fillId="0" borderId="12" xfId="0" applyFont="1" applyBorder="1" applyAlignment="1">
      <alignment wrapText="1"/>
    </xf>
    <xf numFmtId="0" fontId="12" fillId="0" borderId="0" xfId="0" applyFont="1" applyAlignment="1">
      <alignment wrapText="1"/>
    </xf>
    <xf numFmtId="0" fontId="66" fillId="0" borderId="0" xfId="0" applyFont="1" applyAlignment="1">
      <alignment wrapText="1"/>
    </xf>
    <xf numFmtId="0" fontId="63" fillId="0" borderId="4" xfId="0" applyFont="1" applyBorder="1" applyAlignment="1">
      <alignment horizontal="right"/>
    </xf>
    <xf numFmtId="0" fontId="63" fillId="0" borderId="5" xfId="0" applyFont="1" applyBorder="1" applyAlignment="1">
      <alignment horizontal="right"/>
    </xf>
    <xf numFmtId="171" fontId="61" fillId="33" borderId="0" xfId="2" applyNumberFormat="1" applyBorder="1"/>
    <xf numFmtId="171" fontId="61" fillId="33" borderId="7" xfId="2" applyNumberFormat="1" applyBorder="1"/>
    <xf numFmtId="0" fontId="67" fillId="0" borderId="0" xfId="0" applyFont="1"/>
    <xf numFmtId="0" fontId="68" fillId="0" borderId="40" xfId="0" applyFont="1" applyBorder="1" applyAlignment="1">
      <alignment vertical="center"/>
    </xf>
    <xf numFmtId="0" fontId="69" fillId="0" borderId="0" xfId="0" applyFont="1"/>
    <xf numFmtId="14" fontId="63" fillId="0" borderId="62" xfId="0" applyNumberFormat="1" applyFont="1" applyBorder="1"/>
    <xf numFmtId="14" fontId="30" fillId="28" borderId="30" xfId="0" applyNumberFormat="1" applyFont="1" applyFill="1" applyBorder="1" applyAlignment="1">
      <alignment horizontal="center" vertical="top"/>
    </xf>
    <xf numFmtId="170" fontId="30" fillId="28" borderId="30" xfId="0" applyNumberFormat="1" applyFont="1" applyFill="1" applyBorder="1" applyAlignment="1">
      <alignment horizontal="center" vertical="top"/>
    </xf>
    <xf numFmtId="170" fontId="0" fillId="28" borderId="30" xfId="0" applyNumberFormat="1" applyFill="1" applyBorder="1" applyAlignment="1">
      <alignment horizontal="center"/>
    </xf>
    <xf numFmtId="170" fontId="30" fillId="28" borderId="30" xfId="0" applyNumberFormat="1" applyFont="1" applyFill="1" applyBorder="1" applyAlignment="1">
      <alignment horizontal="center"/>
    </xf>
    <xf numFmtId="0" fontId="30" fillId="28" borderId="63" xfId="0" applyFont="1" applyFill="1" applyBorder="1" applyAlignment="1">
      <alignment horizontal="center"/>
    </xf>
    <xf numFmtId="0" fontId="30" fillId="13" borderId="30" xfId="0" applyFont="1" applyFill="1" applyBorder="1" applyAlignment="1">
      <alignment horizontal="center" vertical="top"/>
    </xf>
    <xf numFmtId="0" fontId="30" fillId="13" borderId="64" xfId="0" applyFont="1" applyFill="1" applyBorder="1" applyAlignment="1">
      <alignment horizontal="center" vertical="top"/>
    </xf>
    <xf numFmtId="0" fontId="30" fillId="13" borderId="65" xfId="0" applyFont="1" applyFill="1" applyBorder="1" applyAlignment="1">
      <alignment horizontal="center" vertical="top"/>
    </xf>
    <xf numFmtId="2" fontId="30" fillId="13" borderId="30" xfId="0" applyNumberFormat="1" applyFont="1" applyFill="1" applyBorder="1" applyAlignment="1">
      <alignment horizontal="center" vertical="top"/>
    </xf>
    <xf numFmtId="2" fontId="30" fillId="13" borderId="65" xfId="0" applyNumberFormat="1" applyFont="1" applyFill="1" applyBorder="1" applyAlignment="1">
      <alignment horizontal="center" vertical="top"/>
    </xf>
    <xf numFmtId="0" fontId="30" fillId="7" borderId="30" xfId="0" applyFont="1" applyFill="1" applyBorder="1" applyAlignment="1">
      <alignment horizontal="center" vertical="top"/>
    </xf>
    <xf numFmtId="0" fontId="30" fillId="7" borderId="65" xfId="0" applyFont="1" applyFill="1" applyBorder="1" applyAlignment="1">
      <alignment horizontal="center" vertical="top"/>
    </xf>
    <xf numFmtId="0" fontId="30" fillId="0" borderId="30" xfId="0" applyFont="1" applyBorder="1" applyAlignment="1">
      <alignment horizontal="center"/>
    </xf>
    <xf numFmtId="169" fontId="60" fillId="0" borderId="30" xfId="0" applyNumberFormat="1" applyFont="1" applyBorder="1" applyAlignment="1">
      <alignment horizontal="right"/>
    </xf>
    <xf numFmtId="49" fontId="30" fillId="0" borderId="30" xfId="0" applyNumberFormat="1" applyFont="1" applyBorder="1" applyAlignment="1">
      <alignment horizontal="center"/>
    </xf>
    <xf numFmtId="0" fontId="30" fillId="0" borderId="30" xfId="0" applyFont="1" applyBorder="1"/>
    <xf numFmtId="0" fontId="30" fillId="0" borderId="30" xfId="0" applyFont="1" applyBorder="1" applyAlignment="1">
      <alignment horizontal="left"/>
    </xf>
    <xf numFmtId="169" fontId="54" fillId="0" borderId="0" xfId="0" applyNumberFormat="1" applyFont="1" applyAlignment="1">
      <alignment horizontal="center"/>
    </xf>
    <xf numFmtId="167" fontId="60" fillId="0" borderId="0" xfId="0" applyNumberFormat="1" applyFont="1"/>
    <xf numFmtId="0" fontId="29" fillId="5" borderId="0" xfId="0" applyFont="1" applyFill="1" applyAlignment="1">
      <alignment horizontal="center"/>
    </xf>
    <xf numFmtId="0" fontId="70" fillId="0" borderId="0" xfId="0" applyFont="1" applyAlignment="1">
      <alignment horizontal="right"/>
    </xf>
    <xf numFmtId="165" fontId="71" fillId="22" borderId="12" xfId="0" applyNumberFormat="1" applyFont="1" applyFill="1" applyBorder="1"/>
    <xf numFmtId="0" fontId="30" fillId="0" borderId="41" xfId="0" applyFont="1" applyBorder="1" applyAlignment="1">
      <alignment horizontal="center"/>
    </xf>
    <xf numFmtId="0" fontId="30" fillId="28" borderId="9" xfId="0" applyFont="1" applyFill="1" applyBorder="1" applyAlignment="1">
      <alignment horizontal="center"/>
    </xf>
    <xf numFmtId="0" fontId="30" fillId="13" borderId="49" xfId="0" applyFont="1" applyFill="1" applyBorder="1" applyAlignment="1">
      <alignment horizontal="center" vertical="top"/>
    </xf>
    <xf numFmtId="0" fontId="30" fillId="13" borderId="48" xfId="0" applyFont="1" applyFill="1" applyBorder="1" applyAlignment="1">
      <alignment horizontal="center" vertical="top"/>
    </xf>
    <xf numFmtId="165" fontId="0" fillId="35" borderId="0" xfId="0" applyNumberFormat="1" applyFill="1"/>
    <xf numFmtId="165" fontId="0" fillId="31" borderId="0" xfId="0" applyNumberFormat="1" applyFill="1"/>
    <xf numFmtId="165" fontId="2" fillId="0" borderId="0" xfId="0" applyNumberFormat="1" applyFont="1"/>
    <xf numFmtId="165" fontId="2" fillId="35" borderId="0" xfId="0" applyNumberFormat="1" applyFont="1" applyFill="1"/>
    <xf numFmtId="0" fontId="62" fillId="34" borderId="59" xfId="3"/>
    <xf numFmtId="0" fontId="62" fillId="34" borderId="71" xfId="3" applyBorder="1"/>
    <xf numFmtId="0" fontId="0" fillId="0" borderId="47" xfId="0" applyBorder="1"/>
    <xf numFmtId="0" fontId="0" fillId="0" borderId="73" xfId="0" applyBorder="1"/>
    <xf numFmtId="16" fontId="72" fillId="0" borderId="72" xfId="0" applyNumberFormat="1" applyFont="1" applyBorder="1" applyAlignment="1">
      <alignment horizontal="right"/>
    </xf>
    <xf numFmtId="0" fontId="0" fillId="0" borderId="75" xfId="0" applyBorder="1"/>
    <xf numFmtId="172" fontId="0" fillId="5" borderId="76" xfId="0" applyNumberFormat="1" applyFill="1" applyBorder="1"/>
    <xf numFmtId="172" fontId="0" fillId="5" borderId="73" xfId="0" applyNumberFormat="1" applyFill="1" applyBorder="1"/>
    <xf numFmtId="165" fontId="73" fillId="36" borderId="47" xfId="0" applyNumberFormat="1" applyFont="1" applyFill="1" applyBorder="1"/>
    <xf numFmtId="16" fontId="72" fillId="0" borderId="18" xfId="0" applyNumberFormat="1" applyFont="1" applyBorder="1" applyAlignment="1">
      <alignment horizontal="right"/>
    </xf>
    <xf numFmtId="0" fontId="62" fillId="34" borderId="77" xfId="3" applyBorder="1"/>
    <xf numFmtId="165" fontId="62" fillId="34" borderId="59" xfId="3" applyNumberFormat="1"/>
    <xf numFmtId="2" fontId="30" fillId="0" borderId="0" xfId="0" applyNumberFormat="1" applyFont="1"/>
    <xf numFmtId="2" fontId="29" fillId="0" borderId="0" xfId="0" applyNumberFormat="1" applyFont="1"/>
    <xf numFmtId="165" fontId="74" fillId="0" borderId="0" xfId="0" applyNumberFormat="1" applyFont="1" applyAlignment="1">
      <alignment horizontal="right"/>
    </xf>
    <xf numFmtId="14" fontId="30" fillId="28" borderId="47" xfId="0" applyNumberFormat="1" applyFont="1" applyFill="1" applyBorder="1" applyAlignment="1">
      <alignment horizontal="center"/>
    </xf>
    <xf numFmtId="170" fontId="0" fillId="28" borderId="47" xfId="0" applyNumberFormat="1" applyFill="1" applyBorder="1" applyAlignment="1">
      <alignment horizontal="center"/>
    </xf>
    <xf numFmtId="0" fontId="30" fillId="7" borderId="47" xfId="0" applyFont="1" applyFill="1" applyBorder="1" applyAlignment="1">
      <alignment horizontal="center" vertical="top"/>
    </xf>
    <xf numFmtId="0" fontId="30" fillId="7" borderId="48" xfId="0" applyFont="1" applyFill="1" applyBorder="1" applyAlignment="1">
      <alignment horizontal="center" vertical="top"/>
    </xf>
    <xf numFmtId="0" fontId="30" fillId="7" borderId="0" xfId="0" applyFont="1" applyFill="1" applyAlignment="1">
      <alignment horizontal="left" vertical="top"/>
    </xf>
    <xf numFmtId="14" fontId="29" fillId="28" borderId="0" xfId="0" applyNumberFormat="1" applyFont="1" applyFill="1" applyAlignment="1">
      <alignment horizontal="center" vertical="top"/>
    </xf>
    <xf numFmtId="0" fontId="29" fillId="13" borderId="0" xfId="0" applyFont="1" applyFill="1" applyAlignment="1">
      <alignment horizontal="center" vertical="top"/>
    </xf>
    <xf numFmtId="2" fontId="29" fillId="13" borderId="0" xfId="0" applyNumberFormat="1" applyFont="1" applyFill="1" applyAlignment="1">
      <alignment horizontal="center" vertical="top"/>
    </xf>
    <xf numFmtId="0" fontId="29" fillId="7" borderId="0" xfId="0" applyFont="1" applyFill="1" applyAlignment="1">
      <alignment horizontal="center" vertical="top"/>
    </xf>
    <xf numFmtId="3" fontId="29" fillId="0" borderId="0" xfId="0" applyNumberFormat="1" applyFont="1" applyAlignment="1">
      <alignment horizontal="center" vertical="top"/>
    </xf>
    <xf numFmtId="169" fontId="29" fillId="0" borderId="0" xfId="0" applyNumberFormat="1" applyFont="1" applyAlignment="1">
      <alignment horizontal="center" vertical="top"/>
    </xf>
    <xf numFmtId="49" fontId="29" fillId="0" borderId="0" xfId="0" applyNumberFormat="1" applyFont="1" applyAlignment="1">
      <alignment horizontal="center" vertical="top"/>
    </xf>
    <xf numFmtId="0" fontId="29" fillId="0" borderId="0" xfId="0" applyFont="1" applyAlignment="1">
      <alignment horizontal="left" vertical="top"/>
    </xf>
    <xf numFmtId="0" fontId="34" fillId="7" borderId="0" xfId="0" applyFont="1" applyFill="1" applyAlignment="1">
      <alignment horizontal="left" vertical="top"/>
    </xf>
    <xf numFmtId="167" fontId="29" fillId="0" borderId="0" xfId="0" applyNumberFormat="1" applyFont="1" applyAlignment="1">
      <alignment vertical="top"/>
    </xf>
    <xf numFmtId="0" fontId="0" fillId="0" borderId="0" xfId="0" applyAlignment="1">
      <alignment vertical="top"/>
    </xf>
    <xf numFmtId="0" fontId="12" fillId="0" borderId="66" xfId="0" applyFont="1" applyBorder="1" applyAlignment="1">
      <alignment wrapText="1"/>
    </xf>
    <xf numFmtId="0" fontId="15" fillId="0" borderId="68" xfId="0" applyFont="1" applyBorder="1" applyAlignment="1">
      <alignment wrapText="1"/>
    </xf>
    <xf numFmtId="0" fontId="12" fillId="0" borderId="69" xfId="0" applyFont="1" applyBorder="1"/>
    <xf numFmtId="0" fontId="17" fillId="0" borderId="70" xfId="0" applyFont="1" applyBorder="1" applyAlignment="1">
      <alignment wrapText="1"/>
    </xf>
    <xf numFmtId="0" fontId="12" fillId="0" borderId="74" xfId="0" applyFont="1" applyBorder="1"/>
    <xf numFmtId="165" fontId="63" fillId="22" borderId="80" xfId="0" applyNumberFormat="1" applyFont="1" applyFill="1" applyBorder="1"/>
    <xf numFmtId="165" fontId="63" fillId="22" borderId="81" xfId="0" applyNumberFormat="1" applyFont="1" applyFill="1" applyBorder="1"/>
    <xf numFmtId="165" fontId="71" fillId="36" borderId="18" xfId="0" applyNumberFormat="1" applyFont="1" applyFill="1" applyBorder="1" applyAlignment="1">
      <alignment horizontal="left"/>
    </xf>
    <xf numFmtId="0" fontId="12" fillId="0" borderId="60" xfId="0" applyFont="1" applyBorder="1"/>
    <xf numFmtId="0" fontId="15" fillId="0" borderId="61" xfId="0" applyFont="1" applyBorder="1" applyAlignment="1">
      <alignment wrapText="1"/>
    </xf>
    <xf numFmtId="0" fontId="62" fillId="34" borderId="59" xfId="3" applyAlignment="1">
      <alignment horizontal="center"/>
    </xf>
    <xf numFmtId="0" fontId="61" fillId="33" borderId="0" xfId="2" applyBorder="1"/>
    <xf numFmtId="0" fontId="61" fillId="33" borderId="7" xfId="2" applyBorder="1"/>
    <xf numFmtId="16" fontId="12" fillId="22" borderId="8" xfId="0" applyNumberFormat="1" applyFont="1" applyFill="1" applyBorder="1"/>
    <xf numFmtId="165" fontId="63" fillId="22" borderId="78" xfId="0" applyNumberFormat="1" applyFont="1" applyFill="1" applyBorder="1"/>
    <xf numFmtId="165" fontId="63" fillId="22" borderId="79" xfId="0" applyNumberFormat="1" applyFont="1" applyFill="1" applyBorder="1"/>
    <xf numFmtId="0" fontId="12" fillId="0" borderId="40" xfId="0" applyFont="1" applyBorder="1"/>
    <xf numFmtId="0" fontId="12" fillId="0" borderId="9" xfId="0" applyFont="1" applyBorder="1"/>
    <xf numFmtId="3" fontId="62" fillId="34" borderId="59" xfId="3" applyNumberFormat="1"/>
    <xf numFmtId="2" fontId="62" fillId="34" borderId="59" xfId="3" applyNumberFormat="1"/>
    <xf numFmtId="14" fontId="30" fillId="28" borderId="9" xfId="0" applyNumberFormat="1" applyFont="1" applyFill="1" applyBorder="1" applyAlignment="1">
      <alignment horizontal="center"/>
    </xf>
    <xf numFmtId="0" fontId="30" fillId="13" borderId="9" xfId="0" applyFont="1" applyFill="1" applyBorder="1" applyAlignment="1">
      <alignment horizontal="center"/>
    </xf>
    <xf numFmtId="2" fontId="30" fillId="13" borderId="9" xfId="0" applyNumberFormat="1" applyFont="1" applyFill="1" applyBorder="1" applyAlignment="1">
      <alignment horizontal="center"/>
    </xf>
    <xf numFmtId="2" fontId="30" fillId="13" borderId="40" xfId="0" applyNumberFormat="1" applyFont="1" applyFill="1" applyBorder="1" applyAlignment="1">
      <alignment horizontal="center"/>
    </xf>
    <xf numFmtId="0" fontId="3" fillId="13" borderId="0" xfId="0" applyFont="1" applyFill="1" applyAlignment="1">
      <alignment horizontal="center"/>
    </xf>
    <xf numFmtId="0" fontId="3" fillId="13" borderId="33" xfId="0" applyFont="1" applyFill="1" applyBorder="1" applyAlignment="1">
      <alignment horizontal="center"/>
    </xf>
    <xf numFmtId="0" fontId="3" fillId="13" borderId="32" xfId="0" applyFont="1" applyFill="1" applyBorder="1" applyAlignment="1">
      <alignment horizontal="center"/>
    </xf>
    <xf numFmtId="2" fontId="3" fillId="13" borderId="0" xfId="0" applyNumberFormat="1" applyFont="1" applyFill="1" applyAlignment="1">
      <alignment horizontal="center"/>
    </xf>
    <xf numFmtId="2" fontId="3" fillId="13" borderId="32" xfId="0" applyNumberFormat="1" applyFont="1" applyFill="1" applyBorder="1" applyAlignment="1">
      <alignment horizontal="center"/>
    </xf>
    <xf numFmtId="0" fontId="31" fillId="7" borderId="9" xfId="0" quotePrefix="1" applyFont="1" applyFill="1" applyBorder="1" applyAlignment="1">
      <alignment horizontal="center"/>
    </xf>
    <xf numFmtId="0" fontId="54" fillId="7" borderId="0" xfId="0" applyFont="1" applyFill="1" applyAlignment="1">
      <alignment horizontal="center"/>
    </xf>
    <xf numFmtId="0" fontId="3" fillId="13" borderId="9" xfId="0" applyFont="1" applyFill="1" applyBorder="1" applyAlignment="1">
      <alignment horizontal="center"/>
    </xf>
    <xf numFmtId="0" fontId="3" fillId="13" borderId="41" xfId="0" applyFont="1" applyFill="1" applyBorder="1" applyAlignment="1">
      <alignment horizontal="center"/>
    </xf>
    <xf numFmtId="0" fontId="3" fillId="13" borderId="40" xfId="0" applyFont="1" applyFill="1" applyBorder="1" applyAlignment="1">
      <alignment horizontal="center"/>
    </xf>
    <xf numFmtId="170" fontId="30" fillId="28" borderId="0" xfId="0" applyNumberFormat="1" applyFont="1" applyFill="1" applyBorder="1" applyAlignment="1">
      <alignment horizontal="center" vertical="top"/>
    </xf>
    <xf numFmtId="170" fontId="30" fillId="28" borderId="0" xfId="0" applyNumberFormat="1" applyFont="1" applyFill="1" applyBorder="1" applyAlignment="1">
      <alignment horizontal="center"/>
    </xf>
    <xf numFmtId="0" fontId="30" fillId="13" borderId="47" xfId="0" applyFont="1" applyFill="1" applyBorder="1" applyAlignment="1">
      <alignment horizontal="center"/>
    </xf>
    <xf numFmtId="2" fontId="30" fillId="13" borderId="47" xfId="0" applyNumberFormat="1" applyFont="1" applyFill="1" applyBorder="1" applyAlignment="1">
      <alignment horizontal="center"/>
    </xf>
    <xf numFmtId="2" fontId="30" fillId="13" borderId="48" xfId="0" applyNumberFormat="1" applyFont="1" applyFill="1" applyBorder="1" applyAlignment="1">
      <alignment horizontal="center"/>
    </xf>
    <xf numFmtId="0" fontId="54" fillId="7" borderId="47" xfId="0" applyFont="1" applyFill="1" applyBorder="1" applyAlignment="1">
      <alignment horizontal="center"/>
    </xf>
    <xf numFmtId="0" fontId="18" fillId="0" borderId="0" xfId="0" applyFont="1"/>
    <xf numFmtId="0" fontId="30" fillId="13" borderId="0" xfId="0" applyFont="1" applyFill="1" applyBorder="1" applyAlignment="1">
      <alignment horizontal="center"/>
    </xf>
    <xf numFmtId="2" fontId="30" fillId="13" borderId="0" xfId="0" applyNumberFormat="1" applyFont="1" applyFill="1" applyBorder="1" applyAlignment="1">
      <alignment horizontal="center"/>
    </xf>
    <xf numFmtId="0" fontId="30" fillId="13" borderId="27" xfId="0" applyFont="1" applyFill="1" applyBorder="1" applyAlignment="1">
      <alignment horizontal="center"/>
    </xf>
    <xf numFmtId="0" fontId="30" fillId="13" borderId="28" xfId="0" applyFont="1" applyFill="1" applyBorder="1" applyAlignment="1">
      <alignment horizontal="center"/>
    </xf>
    <xf numFmtId="2" fontId="30" fillId="13" borderId="28" xfId="0" applyNumberFormat="1" applyFont="1" applyFill="1" applyBorder="1" applyAlignment="1">
      <alignment horizontal="center"/>
    </xf>
    <xf numFmtId="0" fontId="75" fillId="22" borderId="15" xfId="0" applyFont="1" applyFill="1" applyBorder="1"/>
    <xf numFmtId="0" fontId="30" fillId="28" borderId="56" xfId="0" applyFont="1" applyFill="1" applyBorder="1" applyAlignment="1">
      <alignment horizontal="center"/>
    </xf>
    <xf numFmtId="14" fontId="30" fillId="28" borderId="0" xfId="0" applyNumberFormat="1" applyFont="1" applyFill="1" applyBorder="1" applyAlignment="1">
      <alignment horizontal="center"/>
    </xf>
    <xf numFmtId="170" fontId="0" fillId="28" borderId="0" xfId="0" applyNumberFormat="1" applyFill="1" applyBorder="1" applyAlignment="1">
      <alignment horizontal="center"/>
    </xf>
    <xf numFmtId="0" fontId="30" fillId="7" borderId="0" xfId="0" applyFont="1" applyFill="1" applyBorder="1" applyAlignment="1">
      <alignment horizontal="center"/>
    </xf>
    <xf numFmtId="0" fontId="54" fillId="7" borderId="0" xfId="0" applyFont="1" applyFill="1" applyBorder="1" applyAlignment="1">
      <alignment horizontal="center"/>
    </xf>
    <xf numFmtId="0" fontId="30" fillId="0" borderId="0" xfId="0" applyFont="1" applyBorder="1" applyAlignment="1">
      <alignment horizontal="center"/>
    </xf>
    <xf numFmtId="0" fontId="30" fillId="0" borderId="0" xfId="0" applyFont="1" applyBorder="1"/>
    <xf numFmtId="0" fontId="30" fillId="0" borderId="0" xfId="0" applyFont="1" applyBorder="1" applyAlignment="1">
      <alignment horizontal="left"/>
    </xf>
    <xf numFmtId="49" fontId="30" fillId="26" borderId="0" xfId="0" applyNumberFormat="1" applyFont="1" applyFill="1" applyAlignment="1">
      <alignment horizontal="center"/>
    </xf>
    <xf numFmtId="0" fontId="15" fillId="0" borderId="12" xfId="0" applyFont="1" applyBorder="1" applyAlignment="1">
      <alignment wrapText="1"/>
    </xf>
    <xf numFmtId="0" fontId="17" fillId="0" borderId="12" xfId="0" applyFont="1" applyBorder="1" applyAlignment="1">
      <alignment wrapText="1"/>
    </xf>
    <xf numFmtId="0" fontId="3" fillId="23" borderId="19" xfId="0" applyFont="1" applyFill="1" applyBorder="1" applyAlignment="1">
      <alignment horizontal="center" vertical="center" wrapText="1"/>
    </xf>
    <xf numFmtId="0" fontId="3" fillId="23" borderId="20" xfId="0" applyFont="1" applyFill="1" applyBorder="1" applyAlignment="1">
      <alignment horizontal="center" vertical="center" wrapText="1"/>
    </xf>
    <xf numFmtId="0" fontId="3" fillId="23" borderId="12" xfId="0" applyFont="1" applyFill="1" applyBorder="1" applyAlignment="1">
      <alignment horizontal="center" vertical="center" wrapText="1"/>
    </xf>
    <xf numFmtId="0" fontId="3" fillId="0" borderId="12" xfId="0" applyFont="1" applyBorder="1" applyAlignment="1">
      <alignment horizontal="center"/>
    </xf>
    <xf numFmtId="0" fontId="3" fillId="23" borderId="17" xfId="0" applyFont="1" applyFill="1" applyBorder="1" applyAlignment="1">
      <alignment horizontal="center" vertical="center" wrapText="1"/>
    </xf>
    <xf numFmtId="0" fontId="24" fillId="0" borderId="12" xfId="0" applyFont="1" applyBorder="1" applyAlignment="1">
      <alignment horizontal="center" wrapText="1"/>
    </xf>
    <xf numFmtId="164" fontId="3" fillId="0" borderId="12" xfId="0" applyNumberFormat="1" applyFont="1" applyBorder="1" applyAlignment="1">
      <alignment horizontal="center"/>
    </xf>
    <xf numFmtId="0" fontId="11" fillId="0" borderId="12" xfId="0" applyFont="1" applyBorder="1" applyAlignment="1">
      <alignment horizontal="center" wrapText="1"/>
    </xf>
    <xf numFmtId="0" fontId="0" fillId="11" borderId="12" xfId="0" applyFill="1" applyBorder="1" applyAlignment="1">
      <alignment horizontal="center"/>
    </xf>
    <xf numFmtId="0" fontId="7" fillId="0" borderId="12" xfId="0" applyFont="1" applyBorder="1" applyAlignment="1">
      <alignment horizontal="center" wrapText="1"/>
    </xf>
    <xf numFmtId="0" fontId="0" fillId="0" borderId="18" xfId="0" applyBorder="1" applyAlignment="1">
      <alignment horizontal="center" vertical="center"/>
    </xf>
    <xf numFmtId="0" fontId="3" fillId="0" borderId="12" xfId="0" applyFont="1" applyBorder="1" applyAlignment="1">
      <alignment horizontal="center" vertical="center" wrapText="1"/>
    </xf>
    <xf numFmtId="0" fontId="7" fillId="0" borderId="1" xfId="0" applyFont="1" applyBorder="1" applyAlignment="1">
      <alignment horizontal="center" wrapText="1"/>
    </xf>
    <xf numFmtId="0" fontId="11" fillId="0" borderId="1" xfId="0" applyFont="1" applyBorder="1" applyAlignment="1">
      <alignment horizontal="center" wrapText="1"/>
    </xf>
    <xf numFmtId="0" fontId="15" fillId="0" borderId="67" xfId="0" applyFont="1" applyBorder="1" applyAlignment="1">
      <alignment wrapText="1"/>
    </xf>
    <xf numFmtId="14" fontId="30" fillId="28" borderId="30" xfId="0" applyNumberFormat="1" applyFont="1" applyFill="1" applyBorder="1" applyAlignment="1">
      <alignment horizontal="center"/>
    </xf>
    <xf numFmtId="0" fontId="30" fillId="28" borderId="63" xfId="0" applyFont="1" applyFill="1" applyBorder="1" applyAlignment="1">
      <alignment horizontal="center" vertical="top"/>
    </xf>
    <xf numFmtId="0" fontId="30" fillId="13" borderId="30" xfId="0" applyFont="1" applyFill="1" applyBorder="1" applyAlignment="1">
      <alignment horizontal="center"/>
    </xf>
    <xf numFmtId="0" fontId="30" fillId="13" borderId="64" xfId="0" applyFont="1" applyFill="1" applyBorder="1" applyAlignment="1">
      <alignment horizontal="center"/>
    </xf>
    <xf numFmtId="0" fontId="30" fillId="13" borderId="65" xfId="0" applyFont="1" applyFill="1" applyBorder="1" applyAlignment="1">
      <alignment horizontal="center"/>
    </xf>
    <xf numFmtId="2" fontId="30" fillId="13" borderId="30" xfId="0" applyNumberFormat="1" applyFont="1" applyFill="1" applyBorder="1" applyAlignment="1">
      <alignment horizontal="center"/>
    </xf>
    <xf numFmtId="2" fontId="30" fillId="13" borderId="65" xfId="0" applyNumberFormat="1" applyFont="1" applyFill="1" applyBorder="1" applyAlignment="1">
      <alignment horizontal="center"/>
    </xf>
    <xf numFmtId="0" fontId="30" fillId="7" borderId="30" xfId="0" applyFont="1" applyFill="1" applyBorder="1" applyAlignment="1">
      <alignment horizontal="center"/>
    </xf>
    <xf numFmtId="0" fontId="30" fillId="7" borderId="65" xfId="0" applyFont="1" applyFill="1" applyBorder="1" applyAlignment="1">
      <alignment horizontal="center"/>
    </xf>
    <xf numFmtId="169" fontId="30" fillId="0" borderId="30" xfId="0" applyNumberFormat="1" applyFont="1" applyBorder="1" applyAlignment="1">
      <alignment horizontal="center"/>
    </xf>
    <xf numFmtId="0" fontId="29" fillId="13" borderId="36" xfId="0" applyFont="1" applyFill="1" applyBorder="1" applyAlignment="1">
      <alignment horizontal="center" vertical="top" wrapText="1"/>
    </xf>
    <xf numFmtId="0" fontId="29" fillId="13" borderId="37" xfId="0" applyFont="1" applyFill="1" applyBorder="1" applyAlignment="1">
      <alignment horizontal="center" vertical="top" wrapText="1"/>
    </xf>
    <xf numFmtId="2" fontId="29" fillId="13" borderId="38" xfId="0" applyNumberFormat="1" applyFont="1" applyFill="1" applyBorder="1" applyAlignment="1">
      <alignment horizontal="center" vertical="top" wrapText="1"/>
    </xf>
    <xf numFmtId="2" fontId="29" fillId="13" borderId="37" xfId="0" applyNumberFormat="1" applyFont="1" applyFill="1" applyBorder="1" applyAlignment="1">
      <alignment horizontal="center" vertical="top" wrapText="1"/>
    </xf>
    <xf numFmtId="0" fontId="15" fillId="0" borderId="12" xfId="0" applyFont="1" applyBorder="1" applyAlignment="1">
      <alignment wrapText="1"/>
    </xf>
    <xf numFmtId="0" fontId="12" fillId="0" borderId="3" xfId="0" applyFont="1" applyBorder="1" applyAlignment="1">
      <alignment wrapText="1"/>
    </xf>
    <xf numFmtId="0" fontId="12" fillId="0" borderId="14" xfId="0" applyFont="1" applyBorder="1" applyAlignment="1">
      <alignment wrapText="1"/>
    </xf>
    <xf numFmtId="0" fontId="17" fillId="0" borderId="12" xfId="0" applyFont="1" applyBorder="1" applyAlignment="1">
      <alignment wrapText="1"/>
    </xf>
    <xf numFmtId="0" fontId="12" fillId="0" borderId="12" xfId="0" applyFont="1" applyBorder="1" applyAlignment="1">
      <alignment horizontal="center" wrapText="1"/>
    </xf>
    <xf numFmtId="0" fontId="20" fillId="0" borderId="8" xfId="0" applyFont="1" applyBorder="1" applyAlignment="1"/>
    <xf numFmtId="0" fontId="20" fillId="0" borderId="16" xfId="0" applyFont="1" applyBorder="1" applyAlignment="1"/>
    <xf numFmtId="0" fontId="20" fillId="0" borderId="9" xfId="0" applyFont="1" applyBorder="1" applyAlignment="1"/>
    <xf numFmtId="0" fontId="3" fillId="23" borderId="19" xfId="0" applyFont="1" applyFill="1" applyBorder="1" applyAlignment="1">
      <alignment horizontal="center" vertical="center" wrapText="1"/>
    </xf>
    <xf numFmtId="0" fontId="3" fillId="23" borderId="18" xfId="0" applyFont="1" applyFill="1" applyBorder="1" applyAlignment="1">
      <alignment horizontal="center" vertical="center" wrapText="1"/>
    </xf>
    <xf numFmtId="0" fontId="3" fillId="23" borderId="24" xfId="0" applyFont="1" applyFill="1" applyBorder="1" applyAlignment="1">
      <alignment horizontal="center" vertical="center" wrapText="1"/>
    </xf>
    <xf numFmtId="0" fontId="3" fillId="23" borderId="25" xfId="0" applyFont="1" applyFill="1" applyBorder="1" applyAlignment="1">
      <alignment horizontal="center" vertical="center" wrapText="1"/>
    </xf>
    <xf numFmtId="0" fontId="3" fillId="23" borderId="26" xfId="0" applyFont="1" applyFill="1" applyBorder="1" applyAlignment="1">
      <alignment horizontal="center" vertical="center" wrapText="1"/>
    </xf>
    <xf numFmtId="0" fontId="3" fillId="23" borderId="27" xfId="0" applyFont="1" applyFill="1" applyBorder="1" applyAlignment="1">
      <alignment horizontal="center" vertical="center" wrapText="1"/>
    </xf>
    <xf numFmtId="0" fontId="3" fillId="23" borderId="0" xfId="0" applyFont="1" applyFill="1" applyAlignment="1">
      <alignment horizontal="center" vertical="center" wrapText="1"/>
    </xf>
    <xf numFmtId="0" fontId="3" fillId="23" borderId="28" xfId="0" applyFont="1" applyFill="1" applyBorder="1" applyAlignment="1">
      <alignment horizontal="center" vertical="center" wrapText="1"/>
    </xf>
    <xf numFmtId="0" fontId="3" fillId="23" borderId="29" xfId="0" applyFont="1" applyFill="1" applyBorder="1" applyAlignment="1">
      <alignment horizontal="center" vertical="center" wrapText="1"/>
    </xf>
    <xf numFmtId="0" fontId="3" fillId="23" borderId="30" xfId="0" applyFont="1" applyFill="1" applyBorder="1" applyAlignment="1">
      <alignment horizontal="center" vertical="center" wrapText="1"/>
    </xf>
    <xf numFmtId="0" fontId="3" fillId="23" borderId="31" xfId="0" applyFont="1" applyFill="1" applyBorder="1" applyAlignment="1">
      <alignment horizontal="center" vertical="center" wrapText="1"/>
    </xf>
    <xf numFmtId="0" fontId="3" fillId="0" borderId="21" xfId="0" applyFont="1" applyBorder="1" applyAlignment="1">
      <alignment horizontal="center"/>
    </xf>
    <xf numFmtId="0" fontId="3" fillId="0" borderId="22" xfId="0" applyFont="1" applyBorder="1" applyAlignment="1">
      <alignment horizontal="center"/>
    </xf>
    <xf numFmtId="0" fontId="3" fillId="0" borderId="17" xfId="0" applyFont="1" applyBorder="1" applyAlignment="1">
      <alignment horizontal="center"/>
    </xf>
    <xf numFmtId="0" fontId="3" fillId="23" borderId="20" xfId="0" applyFont="1" applyFill="1" applyBorder="1" applyAlignment="1">
      <alignment horizontal="center" vertical="center" wrapText="1"/>
    </xf>
    <xf numFmtId="0" fontId="0" fillId="0" borderId="20" xfId="0" applyBorder="1" applyAlignment="1">
      <alignment horizontal="center" vertical="center" wrapText="1"/>
    </xf>
    <xf numFmtId="0" fontId="0" fillId="0" borderId="18" xfId="0" applyBorder="1" applyAlignment="1">
      <alignment horizontal="center" vertical="center" wrapText="1"/>
    </xf>
    <xf numFmtId="0" fontId="3" fillId="23" borderId="19" xfId="0" applyFont="1" applyFill="1" applyBorder="1" applyAlignment="1">
      <alignment vertical="center" wrapText="1"/>
    </xf>
    <xf numFmtId="0" fontId="0" fillId="0" borderId="20" xfId="0" applyBorder="1" applyAlignment="1">
      <alignment vertical="center" wrapText="1"/>
    </xf>
    <xf numFmtId="0" fontId="0" fillId="0" borderId="18" xfId="0" applyBorder="1" applyAlignment="1">
      <alignment vertical="center" wrapText="1"/>
    </xf>
    <xf numFmtId="0" fontId="0" fillId="0" borderId="19" xfId="0" applyBorder="1" applyAlignment="1">
      <alignment horizontal="center" vertical="center"/>
    </xf>
    <xf numFmtId="0" fontId="0" fillId="0" borderId="20" xfId="0" applyBorder="1" applyAlignment="1">
      <alignment horizontal="center" vertical="center"/>
    </xf>
    <xf numFmtId="0" fontId="0" fillId="0" borderId="18" xfId="0" applyBorder="1" applyAlignment="1">
      <alignment horizontal="center" vertical="center"/>
    </xf>
    <xf numFmtId="0" fontId="3" fillId="0" borderId="12" xfId="0" applyFont="1" applyBorder="1" applyAlignment="1">
      <alignment horizontal="center" vertical="center" wrapText="1"/>
    </xf>
    <xf numFmtId="0" fontId="11" fillId="0" borderId="12" xfId="0" applyFont="1" applyBorder="1" applyAlignment="1">
      <alignment horizontal="center" wrapText="1"/>
    </xf>
    <xf numFmtId="0" fontId="24" fillId="0" borderId="12" xfId="0" applyFont="1" applyBorder="1" applyAlignment="1">
      <alignment horizontal="center" wrapText="1"/>
    </xf>
    <xf numFmtId="0" fontId="7" fillId="0" borderId="12" xfId="0" applyFont="1" applyBorder="1" applyAlignment="1">
      <alignment horizontal="center" wrapText="1"/>
    </xf>
    <xf numFmtId="0" fontId="0" fillId="11" borderId="12" xfId="0" applyFill="1" applyBorder="1" applyAlignment="1">
      <alignment horizontal="center"/>
    </xf>
    <xf numFmtId="0" fontId="3" fillId="23" borderId="12" xfId="0" applyFont="1" applyFill="1" applyBorder="1" applyAlignment="1">
      <alignment horizontal="center" vertical="center" wrapText="1"/>
    </xf>
    <xf numFmtId="0" fontId="3" fillId="0" borderId="12" xfId="0" applyFont="1" applyBorder="1" applyAlignment="1">
      <alignment horizontal="center"/>
    </xf>
    <xf numFmtId="164" fontId="3" fillId="0" borderId="12" xfId="0" applyNumberFormat="1" applyFont="1" applyBorder="1" applyAlignment="1">
      <alignment horizontal="center"/>
    </xf>
    <xf numFmtId="0" fontId="3" fillId="23" borderId="12" xfId="0" applyFont="1" applyFill="1" applyBorder="1" applyAlignment="1">
      <alignment horizontal="center" vertical="center"/>
    </xf>
    <xf numFmtId="0" fontId="3" fillId="23" borderId="21" xfId="0" applyFont="1" applyFill="1" applyBorder="1" applyAlignment="1">
      <alignment horizontal="center" vertical="center" wrapText="1"/>
    </xf>
    <xf numFmtId="0" fontId="3" fillId="23" borderId="22" xfId="0" applyFont="1" applyFill="1" applyBorder="1" applyAlignment="1">
      <alignment horizontal="center" vertical="center" wrapText="1"/>
    </xf>
    <xf numFmtId="0" fontId="3" fillId="23" borderId="17" xfId="0" applyFont="1" applyFill="1" applyBorder="1" applyAlignment="1">
      <alignment horizontal="center" vertical="center" wrapText="1"/>
    </xf>
    <xf numFmtId="0" fontId="0" fillId="0" borderId="23" xfId="0" applyBorder="1" applyAlignment="1">
      <alignment horizontal="center" vertical="center" wrapText="1"/>
    </xf>
    <xf numFmtId="0" fontId="0" fillId="0" borderId="20" xfId="0" applyBorder="1" applyAlignment="1">
      <alignment horizontal="center"/>
    </xf>
    <xf numFmtId="0" fontId="0" fillId="0" borderId="18" xfId="0" applyBorder="1" applyAlignment="1">
      <alignment horizontal="center"/>
    </xf>
    <xf numFmtId="0" fontId="7" fillId="0" borderId="1" xfId="0" applyFont="1" applyBorder="1" applyAlignment="1">
      <alignment horizontal="center" wrapText="1"/>
    </xf>
    <xf numFmtId="0" fontId="13" fillId="0" borderId="0" xfId="0" applyFont="1" applyAlignment="1">
      <alignment horizontal="center" wrapText="1"/>
    </xf>
    <xf numFmtId="0" fontId="11" fillId="0" borderId="1" xfId="0" applyFont="1" applyBorder="1" applyAlignment="1">
      <alignment horizontal="center" wrapText="1"/>
    </xf>
    <xf numFmtId="0" fontId="0" fillId="0" borderId="1" xfId="0" applyBorder="1" applyAlignment="1">
      <alignment horizontal="center"/>
    </xf>
    <xf numFmtId="0" fontId="15" fillId="0" borderId="67" xfId="0" applyFont="1" applyBorder="1" applyAlignment="1">
      <alignment wrapText="1"/>
    </xf>
  </cellXfs>
  <cellStyles count="4">
    <cellStyle name="Bad" xfId="2" builtinId="27"/>
    <cellStyle name="Input" xfId="3" builtinId="20"/>
    <cellStyle name="Neutral" xfId="1" builtinId="28"/>
    <cellStyle name="Normal" xfId="0" builtinId="0"/>
  </cellStyles>
  <dxfs count="20">
    <dxf>
      <font>
        <color rgb="FF006100"/>
      </font>
      <fill>
        <patternFill>
          <bgColor rgb="FFC6EFCE"/>
        </patternFill>
      </fill>
    </dxf>
    <dxf>
      <font>
        <color rgb="FF006100"/>
      </font>
      <fill>
        <patternFill>
          <bgColor rgb="FFC6EFCE"/>
        </patternFill>
      </fill>
    </dxf>
    <dxf>
      <fill>
        <patternFill patternType="solid">
          <bgColor rgb="FFD9E1F2"/>
        </patternFill>
      </fill>
    </dxf>
    <dxf>
      <fill>
        <patternFill patternType="solid">
          <bgColor rgb="FFB4C6E7"/>
        </patternFill>
      </fill>
    </dxf>
    <dxf>
      <fill>
        <patternFill patternType="solid">
          <bgColor rgb="FFB4C6E7"/>
        </patternFill>
      </fill>
    </dxf>
    <dxf>
      <fill>
        <patternFill patternType="solid">
          <bgColor rgb="FFB4C6E7"/>
        </patternFill>
      </fill>
    </dxf>
    <dxf>
      <fill>
        <patternFill patternType="solid">
          <bgColor rgb="FFB4C6E7"/>
        </patternFill>
      </fill>
    </dxf>
    <dxf>
      <fill>
        <patternFill patternType="solid">
          <bgColor rgb="FFB4C6E7"/>
        </patternFill>
      </fill>
    </dxf>
    <dxf>
      <fill>
        <patternFill patternType="solid">
          <bgColor rgb="FFB4C6E7"/>
        </patternFill>
      </fill>
    </dxf>
    <dxf>
      <fill>
        <patternFill patternType="solid">
          <bgColor rgb="FFB4C6E7"/>
        </patternFill>
      </fill>
    </dxf>
    <dxf>
      <font>
        <b/>
        <i val="0"/>
        <color rgb="FF9C5700"/>
      </font>
      <fill>
        <patternFill>
          <bgColor rgb="FFFFEB9C"/>
        </patternFill>
      </fill>
    </dxf>
    <dxf>
      <font>
        <b/>
        <i val="0"/>
        <color rgb="FF9C5700"/>
      </font>
      <fill>
        <patternFill>
          <bgColor rgb="FFFFEB9C"/>
        </patternFill>
      </fill>
    </dxf>
    <dxf>
      <font>
        <b/>
        <i val="0"/>
        <color rgb="FF9C5700"/>
      </font>
      <fill>
        <patternFill>
          <bgColor rgb="FFFFEB9C"/>
        </patternFill>
      </fill>
    </dxf>
    <dxf>
      <fill>
        <patternFill patternType="solid">
          <bgColor rgb="FFD9E1F2"/>
        </patternFill>
      </fill>
    </dxf>
    <dxf>
      <fill>
        <patternFill patternType="solid">
          <bgColor rgb="FFD9E1F2"/>
        </patternFill>
      </fill>
    </dxf>
    <dxf>
      <fill>
        <patternFill patternType="solid">
          <bgColor rgb="FFD9E1F2"/>
        </patternFill>
      </fill>
    </dxf>
    <dxf>
      <fill>
        <patternFill patternType="solid">
          <bgColor rgb="FFD9E1F2"/>
        </patternFill>
      </fill>
    </dxf>
    <dxf>
      <fill>
        <patternFill patternType="solid">
          <bgColor rgb="FFD9E1F2"/>
        </patternFill>
      </fill>
    </dxf>
    <dxf>
      <font>
        <b/>
        <i val="0"/>
        <color rgb="FF9C5700"/>
      </font>
      <fill>
        <patternFill>
          <bgColor rgb="FFFFEB9C"/>
        </patternFill>
      </fill>
    </dxf>
    <dxf>
      <font>
        <color rgb="FF9C5700"/>
      </font>
      <fill>
        <patternFill>
          <bgColor rgb="FFFFEB9C"/>
        </patternFill>
      </fill>
    </dxf>
  </dxfs>
  <tableStyles count="0" defaultTableStyle="TableStyleMedium2" defaultPivotStyle="PivotStyleLight16"/>
  <colors>
    <mruColors>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17/10/relationships/person" Target="persons/perso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'Position Log - GSFC'!$W$484:$W$490</c:f>
              <c:numCache>
                <c:formatCode>General</c:formatCode>
                <c:ptCount val="7"/>
                <c:pt idx="0">
                  <c:v>806.9</c:v>
                </c:pt>
                <c:pt idx="1">
                  <c:v>964.4</c:v>
                </c:pt>
                <c:pt idx="2">
                  <c:v>649.9</c:v>
                </c:pt>
                <c:pt idx="3">
                  <c:v>546.6</c:v>
                </c:pt>
                <c:pt idx="4">
                  <c:v>751.97</c:v>
                </c:pt>
                <c:pt idx="5">
                  <c:v>909.1</c:v>
                </c:pt>
                <c:pt idx="6">
                  <c:v>704.8</c:v>
                </c:pt>
              </c:numCache>
            </c:numRef>
          </c:xVal>
          <c:yVal>
            <c:numRef>
              <c:f>'Position Log - GSFC'!$X$484:$X$490</c:f>
              <c:numCache>
                <c:formatCode>General</c:formatCode>
                <c:ptCount val="7"/>
                <c:pt idx="0">
                  <c:v>601.79999999999995</c:v>
                </c:pt>
                <c:pt idx="1">
                  <c:v>497.6</c:v>
                </c:pt>
                <c:pt idx="2">
                  <c:v>705.9</c:v>
                </c:pt>
                <c:pt idx="3">
                  <c:v>551.4</c:v>
                </c:pt>
                <c:pt idx="4">
                  <c:v>860.48099999999999</c:v>
                </c:pt>
                <c:pt idx="5">
                  <c:v>755.8</c:v>
                </c:pt>
                <c:pt idx="6">
                  <c:v>447.4</c:v>
                </c:pt>
              </c:numCache>
            </c:numRef>
          </c:yVal>
          <c:smooth val="1"/>
          <c:extLst>
            <c:ext xmlns:c16="http://schemas.microsoft.com/office/drawing/2014/chart" uri="{C3380CC4-5D6E-409C-BE32-E72D297353CC}">
              <c16:uniqueId val="{00000001-DA8C-4BBA-B405-61D8122144DF}"/>
            </c:ext>
          </c:extLst>
        </c:ser>
        <c:dLbls>
          <c:showLegendKey val="0"/>
          <c:showVal val="0"/>
          <c:showCatName val="0"/>
          <c:showSerName val="0"/>
          <c:showPercent val="0"/>
          <c:showBubbleSize val="0"/>
        </c:dLbls>
        <c:axId val="843060471"/>
        <c:axId val="843052311"/>
      </c:scatterChart>
      <c:valAx>
        <c:axId val="84306047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3052311"/>
        <c:crosses val="autoZero"/>
        <c:crossBetween val="midCat"/>
      </c:valAx>
      <c:valAx>
        <c:axId val="84305231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3060471"/>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'Position Log - GSFC'!$W$537:$W$561</c:f>
              <c:numCache>
                <c:formatCode>General</c:formatCode>
                <c:ptCount val="25"/>
                <c:pt idx="0">
                  <c:v>812</c:v>
                </c:pt>
                <c:pt idx="1">
                  <c:v>812.9</c:v>
                </c:pt>
                <c:pt idx="2">
                  <c:v>812.9</c:v>
                </c:pt>
                <c:pt idx="3">
                  <c:v>812.8</c:v>
                </c:pt>
                <c:pt idx="4">
                  <c:v>812.8</c:v>
                </c:pt>
                <c:pt idx="5">
                  <c:v>811.9</c:v>
                </c:pt>
                <c:pt idx="6">
                  <c:v>811.7</c:v>
                </c:pt>
                <c:pt idx="7">
                  <c:v>810.9</c:v>
                </c:pt>
                <c:pt idx="8">
                  <c:v>810.7</c:v>
                </c:pt>
                <c:pt idx="9">
                  <c:v>810.5</c:v>
                </c:pt>
                <c:pt idx="10">
                  <c:v>809.8</c:v>
                </c:pt>
                <c:pt idx="11">
                  <c:v>809.9</c:v>
                </c:pt>
                <c:pt idx="12">
                  <c:v>809.9</c:v>
                </c:pt>
                <c:pt idx="13">
                  <c:v>809.7</c:v>
                </c:pt>
                <c:pt idx="14">
                  <c:v>808.7</c:v>
                </c:pt>
                <c:pt idx="15">
                  <c:v>808.8</c:v>
                </c:pt>
                <c:pt idx="16">
                  <c:v>809</c:v>
                </c:pt>
                <c:pt idx="17">
                  <c:v>809.8</c:v>
                </c:pt>
                <c:pt idx="18">
                  <c:v>810</c:v>
                </c:pt>
                <c:pt idx="19">
                  <c:v>810.6</c:v>
                </c:pt>
                <c:pt idx="20">
                  <c:v>810</c:v>
                </c:pt>
                <c:pt idx="21">
                  <c:v>810.7</c:v>
                </c:pt>
                <c:pt idx="22">
                  <c:v>810.9</c:v>
                </c:pt>
                <c:pt idx="24">
                  <c:v>810.9</c:v>
                </c:pt>
              </c:numCache>
            </c:numRef>
          </c:xVal>
          <c:yVal>
            <c:numRef>
              <c:f>'Position Log - GSFC'!$X$537:$X$561</c:f>
              <c:numCache>
                <c:formatCode>General</c:formatCode>
                <c:ptCount val="25"/>
                <c:pt idx="0">
                  <c:v>605.70000000000005</c:v>
                </c:pt>
                <c:pt idx="1">
                  <c:v>604.70000000000005</c:v>
                </c:pt>
                <c:pt idx="2">
                  <c:v>604.70000000000005</c:v>
                </c:pt>
                <c:pt idx="3">
                  <c:v>604.70000000000005</c:v>
                </c:pt>
                <c:pt idx="4">
                  <c:v>604.79999999999995</c:v>
                </c:pt>
                <c:pt idx="5">
                  <c:v>604.79999999999995</c:v>
                </c:pt>
                <c:pt idx="6">
                  <c:v>602.6</c:v>
                </c:pt>
                <c:pt idx="7">
                  <c:v>600.6</c:v>
                </c:pt>
                <c:pt idx="8">
                  <c:v>598.70000000000005</c:v>
                </c:pt>
                <c:pt idx="9">
                  <c:v>597.6</c:v>
                </c:pt>
                <c:pt idx="10">
                  <c:v>596.70000000000005</c:v>
                </c:pt>
                <c:pt idx="11">
                  <c:v>596.6</c:v>
                </c:pt>
                <c:pt idx="12">
                  <c:v>596.70000000000005</c:v>
                </c:pt>
                <c:pt idx="13">
                  <c:v>597.5</c:v>
                </c:pt>
                <c:pt idx="14">
                  <c:v>599.6</c:v>
                </c:pt>
                <c:pt idx="15">
                  <c:v>602.6</c:v>
                </c:pt>
                <c:pt idx="16">
                  <c:v>603.9</c:v>
                </c:pt>
                <c:pt idx="17">
                  <c:v>604.6</c:v>
                </c:pt>
                <c:pt idx="18">
                  <c:v>605.4</c:v>
                </c:pt>
                <c:pt idx="19">
                  <c:v>605.6</c:v>
                </c:pt>
                <c:pt idx="20">
                  <c:v>604.70000000000005</c:v>
                </c:pt>
                <c:pt idx="21">
                  <c:v>604.79999999999995</c:v>
                </c:pt>
                <c:pt idx="22">
                  <c:v>605.4</c:v>
                </c:pt>
                <c:pt idx="24">
                  <c:v>595.9</c:v>
                </c:pt>
              </c:numCache>
            </c:numRef>
          </c:yVal>
          <c:smooth val="1"/>
          <c:extLst>
            <c:ext xmlns:c16="http://schemas.microsoft.com/office/drawing/2014/chart" uri="{C3380CC4-5D6E-409C-BE32-E72D297353CC}">
              <c16:uniqueId val="{00000001-29F5-416C-B3A1-3E27D462238B}"/>
            </c:ext>
          </c:extLst>
        </c:ser>
        <c:dLbls>
          <c:showLegendKey val="0"/>
          <c:showVal val="0"/>
          <c:showCatName val="0"/>
          <c:showSerName val="0"/>
          <c:showPercent val="0"/>
          <c:showBubbleSize val="0"/>
        </c:dLbls>
        <c:axId val="602768007"/>
        <c:axId val="2116298744"/>
      </c:scatterChart>
      <c:valAx>
        <c:axId val="60276800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16298744"/>
        <c:crosses val="autoZero"/>
        <c:crossBetween val="midCat"/>
      </c:valAx>
      <c:valAx>
        <c:axId val="21162987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2768007"/>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'Scratch - RM worksheet'!$Q$39:$Q$42</c:f>
              <c:numCache>
                <c:formatCode>General</c:formatCode>
                <c:ptCount val="4"/>
                <c:pt idx="0">
                  <c:v>4.8499999999999995E-2</c:v>
                </c:pt>
                <c:pt idx="1">
                  <c:v>0.04</c:v>
                </c:pt>
                <c:pt idx="2">
                  <c:v>5.5E-2</c:v>
                </c:pt>
                <c:pt idx="3">
                  <c:v>0.06</c:v>
                </c:pt>
              </c:numCache>
            </c:numRef>
          </c:xVal>
          <c:yVal>
            <c:numRef>
              <c:f>'Scratch - RM worksheet'!$S$39:$S$42</c:f>
              <c:numCache>
                <c:formatCode>General</c:formatCode>
                <c:ptCount val="4"/>
                <c:pt idx="0">
                  <c:v>-1.7999999999999999E-2</c:v>
                </c:pt>
                <c:pt idx="1">
                  <c:v>-2.5999999999999999E-2</c:v>
                </c:pt>
                <c:pt idx="2">
                  <c:v>-1.2999999999999999E-2</c:v>
                </c:pt>
                <c:pt idx="3">
                  <c:v>-8.0000000000000002E-3</c:v>
                </c:pt>
              </c:numCache>
            </c:numRef>
          </c:yVal>
          <c:smooth val="1"/>
          <c:extLst>
            <c:ext xmlns:c16="http://schemas.microsoft.com/office/drawing/2014/chart" uri="{C3380CC4-5D6E-409C-BE32-E72D297353CC}">
              <c16:uniqueId val="{00000001-9BC5-464F-A830-6400D55E112A}"/>
            </c:ext>
          </c:extLst>
        </c:ser>
        <c:dLbls>
          <c:showLegendKey val="0"/>
          <c:showVal val="0"/>
          <c:showCatName val="0"/>
          <c:showSerName val="0"/>
          <c:showPercent val="0"/>
          <c:showBubbleSize val="0"/>
        </c:dLbls>
        <c:axId val="846197159"/>
        <c:axId val="846187079"/>
      </c:scatterChart>
      <c:valAx>
        <c:axId val="84619715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6187079"/>
        <c:crosses val="autoZero"/>
        <c:crossBetween val="midCat"/>
      </c:valAx>
      <c:valAx>
        <c:axId val="8461870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6197159"/>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4.png"/></Relationships>
</file>

<file path=xl/drawings/_rels/drawing3.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11</xdr:col>
      <xdr:colOff>590550</xdr:colOff>
      <xdr:row>6</xdr:row>
      <xdr:rowOff>152400</xdr:rowOff>
    </xdr:from>
    <xdr:to>
      <xdr:col>12</xdr:col>
      <xdr:colOff>4568190</xdr:colOff>
      <xdr:row>20</xdr:row>
      <xdr:rowOff>116205</xdr:rowOff>
    </xdr:to>
    <xdr:pic>
      <xdr:nvPicPr>
        <xdr:cNvPr id="3" name="Picture 1">
          <a:extLst>
            <a:ext uri="{FF2B5EF4-FFF2-40B4-BE49-F238E27FC236}">
              <a16:creationId xmlns:a16="http://schemas.microsoft.com/office/drawing/2014/main" id="{220C323F-5A35-0267-D9FD-5BF67A1DBD82}"/>
            </a:ext>
          </a:extLst>
        </xdr:cNvPr>
        <xdr:cNvPicPr>
          <a:picLocks noChangeAspect="1"/>
        </xdr:cNvPicPr>
      </xdr:nvPicPr>
      <xdr:blipFill>
        <a:blip xmlns:r="http://schemas.openxmlformats.org/officeDocument/2006/relationships" r:embed="rId1"/>
        <a:stretch>
          <a:fillRect/>
        </a:stretch>
      </xdr:blipFill>
      <xdr:spPr>
        <a:xfrm>
          <a:off x="7296150" y="2057400"/>
          <a:ext cx="4572000" cy="2562225"/>
        </a:xfrm>
        <a:prstGeom prst="rect">
          <a:avLst/>
        </a:prstGeom>
      </xdr:spPr>
    </xdr:pic>
    <xdr:clientData/>
  </xdr:twoCellAnchor>
  <xdr:twoCellAnchor editAs="oneCell">
    <xdr:from>
      <xdr:col>12</xdr:col>
      <xdr:colOff>1781175</xdr:colOff>
      <xdr:row>5</xdr:row>
      <xdr:rowOff>114300</xdr:rowOff>
    </xdr:from>
    <xdr:to>
      <xdr:col>12</xdr:col>
      <xdr:colOff>4311015</xdr:colOff>
      <xdr:row>6</xdr:row>
      <xdr:rowOff>161925</xdr:rowOff>
    </xdr:to>
    <xdr:pic>
      <xdr:nvPicPr>
        <xdr:cNvPr id="2" name="Picture 1">
          <a:extLst>
            <a:ext uri="{FF2B5EF4-FFF2-40B4-BE49-F238E27FC236}">
              <a16:creationId xmlns:a16="http://schemas.microsoft.com/office/drawing/2014/main" id="{70D1CD92-0CA1-B16B-255D-A7960529D307}"/>
            </a:ext>
            <a:ext uri="{147F2762-F138-4A5C-976F-8EAC2B608ADB}">
              <a16:predDERef xmlns:a16="http://schemas.microsoft.com/office/drawing/2014/main" pred="{220C323F-5A35-0267-D9FD-5BF67A1DBD82}"/>
            </a:ext>
          </a:extLst>
        </xdr:cNvPr>
        <xdr:cNvPicPr>
          <a:picLocks noChangeAspect="1"/>
        </xdr:cNvPicPr>
      </xdr:nvPicPr>
      <xdr:blipFill>
        <a:blip xmlns:r="http://schemas.openxmlformats.org/officeDocument/2006/relationships" r:embed="rId2"/>
        <a:stretch>
          <a:fillRect/>
        </a:stretch>
      </xdr:blipFill>
      <xdr:spPr>
        <a:xfrm>
          <a:off x="8943975" y="2085975"/>
          <a:ext cx="2529840" cy="228600"/>
        </a:xfrm>
        <a:prstGeom prst="rect">
          <a:avLst/>
        </a:prstGeom>
      </xdr:spPr>
    </xdr:pic>
    <xdr:clientData/>
  </xdr:twoCellAnchor>
  <xdr:twoCellAnchor editAs="oneCell">
    <xdr:from>
      <xdr:col>12</xdr:col>
      <xdr:colOff>3514725</xdr:colOff>
      <xdr:row>7</xdr:row>
      <xdr:rowOff>66675</xdr:rowOff>
    </xdr:from>
    <xdr:to>
      <xdr:col>13</xdr:col>
      <xdr:colOff>260985</xdr:colOff>
      <xdr:row>8</xdr:row>
      <xdr:rowOff>118110</xdr:rowOff>
    </xdr:to>
    <xdr:pic>
      <xdr:nvPicPr>
        <xdr:cNvPr id="4" name="Picture 3">
          <a:extLst>
            <a:ext uri="{FF2B5EF4-FFF2-40B4-BE49-F238E27FC236}">
              <a16:creationId xmlns:a16="http://schemas.microsoft.com/office/drawing/2014/main" id="{11D108B6-0B0E-6B00-DF09-09ECB2551289}"/>
            </a:ext>
            <a:ext uri="{147F2762-F138-4A5C-976F-8EAC2B608ADB}">
              <a16:predDERef xmlns:a16="http://schemas.microsoft.com/office/drawing/2014/main" pred="{70D1CD92-0CA1-B16B-255D-A7960529D307}"/>
            </a:ext>
          </a:extLst>
        </xdr:cNvPr>
        <xdr:cNvPicPr>
          <a:picLocks noChangeAspect="1"/>
        </xdr:cNvPicPr>
      </xdr:nvPicPr>
      <xdr:blipFill>
        <a:blip xmlns:r="http://schemas.openxmlformats.org/officeDocument/2006/relationships" r:embed="rId3"/>
        <a:stretch>
          <a:fillRect/>
        </a:stretch>
      </xdr:blipFill>
      <xdr:spPr>
        <a:xfrm>
          <a:off x="10677525" y="2400300"/>
          <a:ext cx="2442210" cy="23241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12</xdr:col>
      <xdr:colOff>0</xdr:colOff>
      <xdr:row>5</xdr:row>
      <xdr:rowOff>0</xdr:rowOff>
    </xdr:from>
    <xdr:to>
      <xdr:col>12</xdr:col>
      <xdr:colOff>4572000</xdr:colOff>
      <xdr:row>18</xdr:row>
      <xdr:rowOff>70485</xdr:rowOff>
    </xdr:to>
    <xdr:pic>
      <xdr:nvPicPr>
        <xdr:cNvPr id="2" name="Picture 1">
          <a:extLst>
            <a:ext uri="{FF2B5EF4-FFF2-40B4-BE49-F238E27FC236}">
              <a16:creationId xmlns:a16="http://schemas.microsoft.com/office/drawing/2014/main" id="{5C53D2FE-7515-F77D-ACB2-311501A3AF3F}"/>
            </a:ext>
          </a:extLst>
        </xdr:cNvPr>
        <xdr:cNvPicPr>
          <a:picLocks noChangeAspect="1"/>
        </xdr:cNvPicPr>
      </xdr:nvPicPr>
      <xdr:blipFill>
        <a:blip xmlns:r="http://schemas.openxmlformats.org/officeDocument/2006/relationships" r:embed="rId1"/>
        <a:stretch>
          <a:fillRect/>
        </a:stretch>
      </xdr:blipFill>
      <xdr:spPr>
        <a:xfrm>
          <a:off x="7315200" y="1800225"/>
          <a:ext cx="4572000" cy="256222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26</xdr:col>
      <xdr:colOff>476250</xdr:colOff>
      <xdr:row>477</xdr:row>
      <xdr:rowOff>238125</xdr:rowOff>
    </xdr:from>
    <xdr:to>
      <xdr:col>32</xdr:col>
      <xdr:colOff>266700</xdr:colOff>
      <xdr:row>495</xdr:row>
      <xdr:rowOff>85725</xdr:rowOff>
    </xdr:to>
    <xdr:graphicFrame macro="">
      <xdr:nvGraphicFramePr>
        <xdr:cNvPr id="3" name="Chart 2">
          <a:extLst>
            <a:ext uri="{FF2B5EF4-FFF2-40B4-BE49-F238E27FC236}">
              <a16:creationId xmlns:a16="http://schemas.microsoft.com/office/drawing/2014/main" id="{64EF1043-1E4F-D173-2A60-EF69F16F6BA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26</xdr:col>
      <xdr:colOff>952500</xdr:colOff>
      <xdr:row>554</xdr:row>
      <xdr:rowOff>19050</xdr:rowOff>
    </xdr:from>
    <xdr:to>
      <xdr:col>33</xdr:col>
      <xdr:colOff>219075</xdr:colOff>
      <xdr:row>569</xdr:row>
      <xdr:rowOff>161925</xdr:rowOff>
    </xdr:to>
    <xdr:graphicFrame macro="">
      <xdr:nvGraphicFramePr>
        <xdr:cNvPr id="9" name="Chart 3">
          <a:extLst>
            <a:ext uri="{FF2B5EF4-FFF2-40B4-BE49-F238E27FC236}">
              <a16:creationId xmlns:a16="http://schemas.microsoft.com/office/drawing/2014/main" id="{67CEB2B8-3F8C-4B92-FDFB-979B74B8E87E}"/>
            </a:ext>
            <a:ext uri="{147F2762-F138-4A5C-976F-8EAC2B608ADB}">
              <a16:predDERef xmlns:a16="http://schemas.microsoft.com/office/drawing/2014/main" pred="{64EF1043-1E4F-D173-2A60-EF69F16F6BA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15</xdr:col>
      <xdr:colOff>390525</xdr:colOff>
      <xdr:row>6</xdr:row>
      <xdr:rowOff>95250</xdr:rowOff>
    </xdr:from>
    <xdr:to>
      <xdr:col>23</xdr:col>
      <xdr:colOff>85725</xdr:colOff>
      <xdr:row>21</xdr:row>
      <xdr:rowOff>85725</xdr:rowOff>
    </xdr:to>
    <xdr:graphicFrame macro="">
      <xdr:nvGraphicFramePr>
        <xdr:cNvPr id="3" name="Chart 1">
          <a:extLst>
            <a:ext uri="{FF2B5EF4-FFF2-40B4-BE49-F238E27FC236}">
              <a16:creationId xmlns:a16="http://schemas.microsoft.com/office/drawing/2014/main" id="{A24DD704-9C32-EDE9-BE4E-4C45517E8E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13</xdr:col>
      <xdr:colOff>314325</xdr:colOff>
      <xdr:row>9</xdr:row>
      <xdr:rowOff>66675</xdr:rowOff>
    </xdr:from>
    <xdr:to>
      <xdr:col>13</xdr:col>
      <xdr:colOff>4897755</xdr:colOff>
      <xdr:row>19</xdr:row>
      <xdr:rowOff>70485</xdr:rowOff>
    </xdr:to>
    <xdr:pic>
      <xdr:nvPicPr>
        <xdr:cNvPr id="6" name="Picture 1">
          <a:extLst>
            <a:ext uri="{FF2B5EF4-FFF2-40B4-BE49-F238E27FC236}">
              <a16:creationId xmlns:a16="http://schemas.microsoft.com/office/drawing/2014/main" id="{57539F49-DD37-4410-B1E9-90413427E182}"/>
            </a:ext>
          </a:extLst>
        </xdr:cNvPr>
        <xdr:cNvPicPr>
          <a:picLocks noChangeAspect="1"/>
        </xdr:cNvPicPr>
      </xdr:nvPicPr>
      <xdr:blipFill>
        <a:blip xmlns:r="http://schemas.openxmlformats.org/officeDocument/2006/relationships" r:embed="rId1"/>
        <a:stretch>
          <a:fillRect/>
        </a:stretch>
      </xdr:blipFill>
      <xdr:spPr>
        <a:xfrm>
          <a:off x="8572500" y="3048000"/>
          <a:ext cx="4583430" cy="2604135"/>
        </a:xfrm>
        <a:prstGeom prst="rect">
          <a:avLst/>
        </a:prstGeom>
      </xdr:spPr>
    </xdr:pic>
    <xdr:clientData/>
  </xdr:twoCellAnchor>
  <xdr:twoCellAnchor editAs="oneCell">
    <xdr:from>
      <xdr:col>13</xdr:col>
      <xdr:colOff>657225</xdr:colOff>
      <xdr:row>27</xdr:row>
      <xdr:rowOff>19050</xdr:rowOff>
    </xdr:from>
    <xdr:to>
      <xdr:col>13</xdr:col>
      <xdr:colOff>3187065</xdr:colOff>
      <xdr:row>28</xdr:row>
      <xdr:rowOff>64770</xdr:rowOff>
    </xdr:to>
    <xdr:pic>
      <xdr:nvPicPr>
        <xdr:cNvPr id="3" name="Picture 1">
          <a:extLst>
            <a:ext uri="{FF2B5EF4-FFF2-40B4-BE49-F238E27FC236}">
              <a16:creationId xmlns:a16="http://schemas.microsoft.com/office/drawing/2014/main" id="{1ABEF638-A525-4F6E-92F9-520DEDA3DB49}"/>
            </a:ext>
            <a:ext uri="{147F2762-F138-4A5C-976F-8EAC2B608ADB}">
              <a16:predDERef xmlns:a16="http://schemas.microsoft.com/office/drawing/2014/main" pred="{57539F49-DD37-4410-B1E9-90413427E182}"/>
            </a:ext>
          </a:extLst>
        </xdr:cNvPr>
        <xdr:cNvPicPr>
          <a:picLocks noChangeAspect="1"/>
        </xdr:cNvPicPr>
      </xdr:nvPicPr>
      <xdr:blipFill>
        <a:blip xmlns:r="http://schemas.openxmlformats.org/officeDocument/2006/relationships" r:embed="rId2"/>
        <a:stretch>
          <a:fillRect/>
        </a:stretch>
      </xdr:blipFill>
      <xdr:spPr>
        <a:xfrm>
          <a:off x="8305800" y="6029325"/>
          <a:ext cx="2529840" cy="236220"/>
        </a:xfrm>
        <a:prstGeom prst="rect">
          <a:avLst/>
        </a:prstGeom>
      </xdr:spPr>
    </xdr:pic>
    <xdr:clientData/>
  </xdr:twoCellAnchor>
  <xdr:twoCellAnchor editAs="oneCell">
    <xdr:from>
      <xdr:col>13</xdr:col>
      <xdr:colOff>676275</xdr:colOff>
      <xdr:row>28</xdr:row>
      <xdr:rowOff>85725</xdr:rowOff>
    </xdr:from>
    <xdr:to>
      <xdr:col>13</xdr:col>
      <xdr:colOff>2954655</xdr:colOff>
      <xdr:row>29</xdr:row>
      <xdr:rowOff>135255</xdr:rowOff>
    </xdr:to>
    <xdr:pic>
      <xdr:nvPicPr>
        <xdr:cNvPr id="4" name="Picture 3">
          <a:extLst>
            <a:ext uri="{FF2B5EF4-FFF2-40B4-BE49-F238E27FC236}">
              <a16:creationId xmlns:a16="http://schemas.microsoft.com/office/drawing/2014/main" id="{701AE5FE-13AA-44E7-89AF-DF3E299DE3D9}"/>
            </a:ext>
            <a:ext uri="{147F2762-F138-4A5C-976F-8EAC2B608ADB}">
              <a16:predDERef xmlns:a16="http://schemas.microsoft.com/office/drawing/2014/main" pred="{1ABEF638-A525-4F6E-92F9-520DEDA3DB49}"/>
            </a:ext>
          </a:extLst>
        </xdr:cNvPr>
        <xdr:cNvPicPr>
          <a:picLocks noChangeAspect="1"/>
        </xdr:cNvPicPr>
      </xdr:nvPicPr>
      <xdr:blipFill>
        <a:blip xmlns:r="http://schemas.openxmlformats.org/officeDocument/2006/relationships" r:embed="rId3"/>
        <a:stretch>
          <a:fillRect/>
        </a:stretch>
      </xdr:blipFill>
      <xdr:spPr>
        <a:xfrm>
          <a:off x="8324850" y="6286500"/>
          <a:ext cx="2278380" cy="240030"/>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Bray, Evan (GSFC-549.0)[ORBITAL SCIENCES CORP]" id="{D557F9FA-0B0D-4E4B-92F8-21790F065E04}" userId="S::ebray@ndc.nasa.gov::e2a0ca19-56f3-4d8a-899f-4bf3fcdb61a0" providerId="AD"/>
  <person displayName="Khreishi, Manal A. (GSFC-5510)" id="{66AD2086-B1E5-4C79-91E9-C94C5CB3BA3C}" userId="S::mkhreish@ndc.nasa.gov::740e42c5-cc51-482f-8da8-39fd887e8dfe"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1" dT="2023-04-25T13:30:21.27" personId="{D557F9FA-0B0D-4E4B-92F8-21790F065E04}" id="{9402953B-4DDF-498F-AAE0-095856CFBFF0}">
    <text>Try Ctrl+;</text>
  </threadedComment>
  <threadedComment ref="B1" dT="2023-04-25T13:30:31.12" personId="{D557F9FA-0B0D-4E4B-92F8-21790F065E04}" id="{E072A488-1E3F-459C-AD46-19E8440DF4F4}">
    <text>Try Ctrl+Shift+;</text>
  </threadedComment>
  <threadedComment ref="D1" dT="2023-04-25T13:30:55.31" personId="{D557F9FA-0B0D-4E4B-92F8-21790F065E04}" id="{5BA7ADAB-89B0-40F6-90AE-0B6694501E62}">
    <text>WP1 = Warm Plateau 1
CP2 = Cold Plateau 2, etc</text>
  </threadedComment>
  <threadedComment ref="E1" dT="2023-05-22T16:31:21.97" personId="{D557F9FA-0B0D-4E4B-92F8-21790F065E04}" id="{38B08866-5BAF-46B6-A258-797D295CDDFB}">
    <text>If you have to measure a target multiple times, mark the last/best one with a "Y"</text>
  </threadedComment>
  <threadedComment ref="F48" dT="2023-05-24T21:25:35.56" personId="{D557F9FA-0B0D-4E4B-92F8-21790F065E04}" id="{15DE180F-2664-4EFB-9707-7F997333C953}">
    <text>Aperture wheel electronics not yet functional</text>
  </threadedComment>
</ThreadedComments>
</file>

<file path=xl/threadedComments/threadedComment2.xml><?xml version="1.0" encoding="utf-8"?>
<ThreadedComments xmlns="http://schemas.microsoft.com/office/spreadsheetml/2018/threadedcomments" xmlns:x="http://schemas.openxmlformats.org/spreadsheetml/2006/main">
  <threadedComment ref="E223" dT="2023-02-06T16:31:58.48" personId="{D557F9FA-0B0D-4E4B-92F8-21790F065E04}" id="{6FD92BB6-0254-4520-9D4A-A658EA59DCCA}">
    <text>I think this value of 21.66 is suspect. I think it was REALLY ~23.6, but the value for RM1A was input again on accident.</text>
  </threadedComment>
  <threadedComment ref="AB308" dT="2023-02-08T03:10:45.62" personId="{66AD2086-B1E5-4C79-91E9-C94C5CB3BA3C}" id="{AAFAA15D-EEE1-4E43-A954-D095787BF889}">
    <text>Please check XY-DoF value for cells I304:J305</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5.bin"/><Relationship Id="rId5" Type="http://schemas.microsoft.com/office/2017/10/relationships/threadedComment" Target="../threadedComments/threadedComment2.xml"/><Relationship Id="rId4" Type="http://schemas.openxmlformats.org/officeDocument/2006/relationships/comments" Target="../comments2.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E5C413-0C59-420C-8750-751FB679EF8A}">
  <sheetPr>
    <tabColor rgb="FF00B050"/>
  </sheetPr>
  <dimension ref="A1:AA374"/>
  <sheetViews>
    <sheetView tabSelected="1" zoomScaleNormal="100" workbookViewId="0">
      <pane xSplit="6" ySplit="1" topLeftCell="K353" activePane="bottomRight" state="frozen"/>
      <selection pane="bottomRight" activeCell="M360" sqref="M360"/>
      <selection pane="bottomLeft" activeCell="A2" sqref="A2"/>
      <selection pane="topRight" activeCell="E1" sqref="E1"/>
    </sheetView>
  </sheetViews>
  <sheetFormatPr defaultColWidth="8.7109375" defaultRowHeight="15.6"/>
  <cols>
    <col min="1" max="1" width="11.85546875" style="316" bestFit="1" customWidth="1"/>
    <col min="2" max="2" width="6.7109375" style="317" customWidth="1"/>
    <col min="3" max="3" width="9.28515625" style="317" customWidth="1"/>
    <col min="4" max="4" width="20.85546875" style="332" bestFit="1" customWidth="1"/>
    <col min="5" max="5" width="5.7109375" style="317" customWidth="1"/>
    <col min="6" max="6" width="16.42578125" style="542" customWidth="1"/>
    <col min="7" max="8" width="6.42578125" style="318" customWidth="1"/>
    <col min="9" max="9" width="6.42578125" style="323" customWidth="1"/>
    <col min="10" max="10" width="6.42578125" style="319" customWidth="1"/>
    <col min="11" max="11" width="7.42578125" style="337" bestFit="1" customWidth="1"/>
    <col min="12" max="12" width="7.42578125" style="338" bestFit="1" customWidth="1"/>
    <col min="13" max="13" width="11" style="320" customWidth="1"/>
    <col min="14" max="16" width="8.7109375" style="320" customWidth="1"/>
    <col min="17" max="17" width="9.42578125" style="321" customWidth="1"/>
    <col min="18" max="19" width="8.7109375" style="315" customWidth="1"/>
    <col min="20" max="20" width="11" style="339" bestFit="1" customWidth="1"/>
    <col min="21" max="21" width="8.7109375" style="510" customWidth="1"/>
    <col min="22" max="23" width="9.42578125" style="315" customWidth="1"/>
    <col min="24" max="25" width="8.7109375" style="322" customWidth="1"/>
    <col min="26" max="26" width="51" style="333" customWidth="1"/>
    <col min="27" max="29" width="8.7109375" style="315" customWidth="1"/>
    <col min="30" max="34" width="20.7109375" style="315" customWidth="1"/>
    <col min="35" max="16384" width="8.7109375" style="315"/>
  </cols>
  <sheetData>
    <row r="1" spans="1:26" ht="33" customHeight="1" thickBot="1">
      <c r="A1" s="348" t="s">
        <v>0</v>
      </c>
      <c r="B1" s="349" t="s">
        <v>1</v>
      </c>
      <c r="C1" s="350" t="s">
        <v>2</v>
      </c>
      <c r="D1" s="351" t="s">
        <v>3</v>
      </c>
      <c r="E1" s="352" t="s">
        <v>4</v>
      </c>
      <c r="F1" s="534" t="s">
        <v>5</v>
      </c>
      <c r="G1" s="714" t="s">
        <v>6</v>
      </c>
      <c r="H1" s="715"/>
      <c r="I1" s="714" t="s">
        <v>7</v>
      </c>
      <c r="J1" s="715"/>
      <c r="K1" s="716" t="s">
        <v>8</v>
      </c>
      <c r="L1" s="717"/>
      <c r="M1" s="353" t="s">
        <v>9</v>
      </c>
      <c r="N1" s="354" t="s">
        <v>10</v>
      </c>
      <c r="O1" s="354" t="s">
        <v>11</v>
      </c>
      <c r="P1" s="354" t="s">
        <v>12</v>
      </c>
      <c r="Q1" s="355" t="s">
        <v>13</v>
      </c>
      <c r="R1" s="356" t="s">
        <v>14</v>
      </c>
      <c r="S1" s="357" t="s">
        <v>15</v>
      </c>
      <c r="T1" s="358" t="s">
        <v>16</v>
      </c>
      <c r="U1" s="505" t="s">
        <v>17</v>
      </c>
      <c r="V1" s="357" t="s">
        <v>18</v>
      </c>
      <c r="W1" s="357" t="s">
        <v>19</v>
      </c>
      <c r="X1" s="357" t="s">
        <v>20</v>
      </c>
      <c r="Y1" s="357" t="s">
        <v>21</v>
      </c>
      <c r="Z1" s="359" t="s">
        <v>22</v>
      </c>
    </row>
    <row r="2" spans="1:26">
      <c r="A2" s="360"/>
      <c r="B2" s="361"/>
      <c r="C2" s="361"/>
      <c r="D2" s="362" t="s">
        <v>23</v>
      </c>
      <c r="E2" s="361" t="s">
        <v>24</v>
      </c>
      <c r="F2" s="535" t="s">
        <v>25</v>
      </c>
      <c r="G2" s="363"/>
      <c r="H2" s="363"/>
      <c r="I2" s="365"/>
      <c r="J2" s="364"/>
      <c r="K2" s="366"/>
      <c r="L2" s="367"/>
      <c r="M2" s="368"/>
      <c r="N2" s="368"/>
      <c r="O2" s="368"/>
      <c r="P2" s="368"/>
      <c r="Q2" s="369"/>
      <c r="R2" s="370"/>
      <c r="S2" s="371"/>
      <c r="T2" s="372"/>
      <c r="U2" s="506"/>
      <c r="V2" s="371"/>
      <c r="W2" s="371"/>
      <c r="X2" s="373"/>
      <c r="Y2" s="373"/>
      <c r="Z2" s="374"/>
    </row>
    <row r="3" spans="1:26">
      <c r="A3" s="360"/>
      <c r="B3" s="361"/>
      <c r="C3" s="361"/>
      <c r="D3" s="362" t="s">
        <v>23</v>
      </c>
      <c r="E3" s="361" t="s">
        <v>24</v>
      </c>
      <c r="F3" s="535" t="s">
        <v>26</v>
      </c>
      <c r="G3" s="363"/>
      <c r="H3" s="363"/>
      <c r="I3" s="365"/>
      <c r="J3" s="364"/>
      <c r="K3" s="366"/>
      <c r="L3" s="367"/>
      <c r="M3" s="375"/>
      <c r="N3" s="368"/>
      <c r="O3" s="368"/>
      <c r="P3" s="368"/>
      <c r="Q3" s="369"/>
      <c r="R3" s="370"/>
      <c r="S3" s="371"/>
      <c r="T3" s="372"/>
      <c r="U3" s="506"/>
      <c r="V3" s="371"/>
      <c r="W3" s="371"/>
      <c r="X3" s="373"/>
      <c r="Y3" s="373"/>
      <c r="Z3" s="374"/>
    </row>
    <row r="4" spans="1:26">
      <c r="A4" s="360"/>
      <c r="B4" s="361"/>
      <c r="C4" s="361"/>
      <c r="D4" s="362" t="s">
        <v>23</v>
      </c>
      <c r="E4" s="361" t="s">
        <v>24</v>
      </c>
      <c r="F4" s="535" t="s">
        <v>27</v>
      </c>
      <c r="G4" s="363"/>
      <c r="H4" s="363"/>
      <c r="I4" s="365"/>
      <c r="J4" s="364"/>
      <c r="K4" s="366"/>
      <c r="L4" s="367"/>
      <c r="M4" s="368"/>
      <c r="N4" s="368"/>
      <c r="O4" s="368"/>
      <c r="P4" s="368"/>
      <c r="Q4" s="369"/>
      <c r="R4" s="371"/>
      <c r="S4" s="371"/>
      <c r="T4" s="372"/>
      <c r="U4" s="506"/>
      <c r="V4" s="371"/>
      <c r="W4" s="371"/>
      <c r="X4" s="373"/>
      <c r="Y4" s="373"/>
      <c r="Z4" s="374"/>
    </row>
    <row r="5" spans="1:26">
      <c r="A5" s="360"/>
      <c r="B5" s="361"/>
      <c r="C5" s="361"/>
      <c r="D5" s="362" t="s">
        <v>23</v>
      </c>
      <c r="E5" s="361" t="s">
        <v>24</v>
      </c>
      <c r="F5" s="535" t="s">
        <v>28</v>
      </c>
      <c r="G5" s="363"/>
      <c r="H5" s="363"/>
      <c r="I5" s="365"/>
      <c r="J5" s="364"/>
      <c r="K5" s="366"/>
      <c r="L5" s="367"/>
      <c r="M5" s="368"/>
      <c r="N5" s="368"/>
      <c r="O5" s="368"/>
      <c r="P5" s="368"/>
      <c r="Q5" s="369"/>
      <c r="R5" s="370"/>
      <c r="S5" s="371"/>
      <c r="T5" s="372"/>
      <c r="U5" s="506"/>
      <c r="V5" s="371"/>
      <c r="W5" s="371"/>
      <c r="X5" s="373"/>
      <c r="Y5" s="373"/>
      <c r="Z5" s="374"/>
    </row>
    <row r="6" spans="1:26">
      <c r="A6" s="360"/>
      <c r="B6" s="361"/>
      <c r="C6" s="361"/>
      <c r="D6" s="362" t="s">
        <v>23</v>
      </c>
      <c r="E6" s="361" t="s">
        <v>24</v>
      </c>
      <c r="F6" s="535" t="s">
        <v>29</v>
      </c>
      <c r="G6" s="363"/>
      <c r="H6" s="363"/>
      <c r="I6" s="365"/>
      <c r="J6" s="364"/>
      <c r="K6" s="366"/>
      <c r="L6" s="367"/>
      <c r="M6" s="368"/>
      <c r="N6" s="368"/>
      <c r="O6" s="368"/>
      <c r="P6" s="368"/>
      <c r="Q6" s="369"/>
      <c r="R6" s="370"/>
      <c r="S6" s="371"/>
      <c r="T6" s="372"/>
      <c r="U6" s="506"/>
      <c r="V6" s="371"/>
      <c r="W6" s="371"/>
      <c r="X6" s="373"/>
      <c r="Y6" s="373"/>
      <c r="Z6" s="374"/>
    </row>
    <row r="7" spans="1:26" ht="21">
      <c r="A7" s="360"/>
      <c r="B7" s="361"/>
      <c r="C7" s="361"/>
      <c r="D7" s="376" t="s">
        <v>30</v>
      </c>
      <c r="E7" s="361" t="s">
        <v>24</v>
      </c>
      <c r="F7" s="535" t="s">
        <v>31</v>
      </c>
      <c r="G7" s="363"/>
      <c r="H7" s="363"/>
      <c r="I7" s="365"/>
      <c r="J7" s="364"/>
      <c r="K7" s="366"/>
      <c r="L7" s="367"/>
      <c r="M7" s="368"/>
      <c r="N7" s="368"/>
      <c r="O7" s="368"/>
      <c r="P7" s="368"/>
      <c r="Q7" s="369"/>
      <c r="R7" s="370"/>
      <c r="S7" s="371"/>
      <c r="T7" s="372"/>
      <c r="U7" s="506"/>
      <c r="V7" s="371"/>
      <c r="W7" s="371"/>
      <c r="X7" s="373"/>
      <c r="Y7" s="373"/>
      <c r="Z7" s="374"/>
    </row>
    <row r="8" spans="1:26">
      <c r="A8" s="360"/>
      <c r="B8" s="361"/>
      <c r="C8" s="361"/>
      <c r="D8" s="362" t="s">
        <v>23</v>
      </c>
      <c r="E8" s="361" t="s">
        <v>24</v>
      </c>
      <c r="F8" s="535" t="s">
        <v>32</v>
      </c>
      <c r="G8" s="363"/>
      <c r="H8" s="363"/>
      <c r="I8" s="365"/>
      <c r="J8" s="364"/>
      <c r="K8" s="366"/>
      <c r="L8" s="367"/>
      <c r="M8" s="368"/>
      <c r="N8" s="368"/>
      <c r="O8" s="368"/>
      <c r="P8" s="368"/>
      <c r="Q8" s="369"/>
      <c r="R8" s="370"/>
      <c r="S8" s="371"/>
      <c r="T8" s="372"/>
      <c r="U8" s="506"/>
      <c r="V8" s="371"/>
      <c r="W8" s="371"/>
      <c r="X8" s="373"/>
      <c r="Y8" s="373"/>
      <c r="Z8" s="374"/>
    </row>
    <row r="9" spans="1:26">
      <c r="A9" s="360"/>
      <c r="B9" s="361"/>
      <c r="C9" s="361"/>
      <c r="D9" s="362" t="s">
        <v>23</v>
      </c>
      <c r="E9" s="361" t="s">
        <v>24</v>
      </c>
      <c r="F9" s="535" t="s">
        <v>33</v>
      </c>
      <c r="G9" s="363"/>
      <c r="H9" s="363"/>
      <c r="I9" s="365"/>
      <c r="J9" s="364"/>
      <c r="K9" s="366"/>
      <c r="L9" s="367"/>
      <c r="M9" s="368"/>
      <c r="N9" s="368"/>
      <c r="O9" s="368"/>
      <c r="P9" s="368"/>
      <c r="Q9" s="369"/>
      <c r="R9" s="370"/>
      <c r="S9" s="371"/>
      <c r="T9" s="372"/>
      <c r="U9" s="506"/>
      <c r="V9" s="371"/>
      <c r="W9" s="371"/>
      <c r="X9" s="373"/>
      <c r="Y9" s="373"/>
      <c r="Z9" s="374"/>
    </row>
    <row r="10" spans="1:26">
      <c r="A10" s="360"/>
      <c r="B10" s="361"/>
      <c r="C10" s="361"/>
      <c r="D10" s="362" t="s">
        <v>23</v>
      </c>
      <c r="E10" s="361" t="s">
        <v>24</v>
      </c>
      <c r="F10" s="535" t="s">
        <v>34</v>
      </c>
      <c r="G10" s="363"/>
      <c r="H10" s="363"/>
      <c r="I10" s="365"/>
      <c r="J10" s="364"/>
      <c r="K10" s="366"/>
      <c r="L10" s="367"/>
      <c r="M10" s="368"/>
      <c r="N10" s="368"/>
      <c r="O10" s="368"/>
      <c r="P10" s="368"/>
      <c r="Q10" s="369"/>
      <c r="R10" s="370"/>
      <c r="S10" s="371"/>
      <c r="T10" s="372"/>
      <c r="U10" s="506"/>
      <c r="V10" s="371"/>
      <c r="W10" s="371"/>
      <c r="X10" s="373"/>
      <c r="Y10" s="373"/>
      <c r="Z10" s="374"/>
    </row>
    <row r="11" spans="1:26">
      <c r="A11" s="360"/>
      <c r="B11" s="361"/>
      <c r="C11" s="361"/>
      <c r="D11" s="362" t="s">
        <v>23</v>
      </c>
      <c r="E11" s="361" t="s">
        <v>24</v>
      </c>
      <c r="F11" s="535" t="s">
        <v>35</v>
      </c>
      <c r="G11" s="363"/>
      <c r="H11" s="363"/>
      <c r="I11" s="365"/>
      <c r="J11" s="364"/>
      <c r="K11" s="366"/>
      <c r="L11" s="367"/>
      <c r="M11" s="368"/>
      <c r="N11" s="368"/>
      <c r="O11" s="368"/>
      <c r="P11" s="368"/>
      <c r="Q11" s="369"/>
      <c r="R11" s="370"/>
      <c r="S11" s="371"/>
      <c r="T11" s="372"/>
      <c r="U11" s="506"/>
      <c r="V11" s="371"/>
      <c r="W11" s="371"/>
      <c r="X11" s="373"/>
      <c r="Y11" s="373"/>
      <c r="Z11" s="374"/>
    </row>
    <row r="12" spans="1:26">
      <c r="A12" s="360"/>
      <c r="B12" s="361"/>
      <c r="C12" s="361"/>
      <c r="D12" s="362" t="s">
        <v>23</v>
      </c>
      <c r="E12" s="361" t="s">
        <v>24</v>
      </c>
      <c r="F12" s="535" t="s">
        <v>36</v>
      </c>
      <c r="G12" s="363"/>
      <c r="H12" s="363"/>
      <c r="I12" s="365"/>
      <c r="J12" s="364"/>
      <c r="K12" s="366"/>
      <c r="L12" s="367"/>
      <c r="M12" s="368"/>
      <c r="N12" s="368"/>
      <c r="O12" s="368"/>
      <c r="P12" s="368"/>
      <c r="Q12" s="369"/>
      <c r="R12" s="370"/>
      <c r="S12" s="371"/>
      <c r="T12" s="372"/>
      <c r="U12" s="506"/>
      <c r="V12" s="371"/>
      <c r="W12" s="371"/>
      <c r="X12" s="373"/>
      <c r="Y12" s="373"/>
      <c r="Z12" s="374"/>
    </row>
    <row r="13" spans="1:26">
      <c r="A13" s="360"/>
      <c r="B13" s="361"/>
      <c r="C13" s="361"/>
      <c r="D13" s="362" t="s">
        <v>37</v>
      </c>
      <c r="E13" s="361" t="s">
        <v>24</v>
      </c>
      <c r="F13" s="535" t="s">
        <v>25</v>
      </c>
      <c r="G13" s="363"/>
      <c r="H13" s="363"/>
      <c r="I13" s="365"/>
      <c r="J13" s="364"/>
      <c r="K13" s="366"/>
      <c r="L13" s="367"/>
      <c r="M13" s="368"/>
      <c r="N13" s="368"/>
      <c r="O13" s="368"/>
      <c r="P13" s="368"/>
      <c r="Q13" s="369"/>
      <c r="R13" s="370"/>
      <c r="S13" s="371"/>
      <c r="T13" s="372"/>
      <c r="U13" s="506"/>
      <c r="V13" s="371"/>
      <c r="W13" s="371"/>
      <c r="X13" s="373"/>
      <c r="Y13" s="373"/>
      <c r="Z13" s="374"/>
    </row>
    <row r="14" spans="1:26">
      <c r="A14" s="360"/>
      <c r="B14" s="361"/>
      <c r="C14" s="361"/>
      <c r="D14" s="362" t="s">
        <v>37</v>
      </c>
      <c r="E14" s="361" t="s">
        <v>24</v>
      </c>
      <c r="F14" s="535" t="s">
        <v>26</v>
      </c>
      <c r="G14" s="363"/>
      <c r="H14" s="363"/>
      <c r="I14" s="365"/>
      <c r="J14" s="364"/>
      <c r="K14" s="366"/>
      <c r="L14" s="367"/>
      <c r="M14" s="368"/>
      <c r="N14" s="368"/>
      <c r="O14" s="368"/>
      <c r="P14" s="368"/>
      <c r="Q14" s="369"/>
      <c r="R14" s="370"/>
      <c r="S14" s="371"/>
      <c r="T14" s="372"/>
      <c r="U14" s="506"/>
      <c r="V14" s="371"/>
      <c r="W14" s="371"/>
      <c r="X14" s="373"/>
      <c r="Y14" s="373"/>
      <c r="Z14" s="374"/>
    </row>
    <row r="15" spans="1:26">
      <c r="A15" s="360"/>
      <c r="B15" s="361"/>
      <c r="C15" s="361"/>
      <c r="D15" s="362" t="s">
        <v>37</v>
      </c>
      <c r="E15" s="361" t="s">
        <v>24</v>
      </c>
      <c r="F15" s="535" t="s">
        <v>27</v>
      </c>
      <c r="G15" s="363"/>
      <c r="H15" s="363"/>
      <c r="I15" s="365"/>
      <c r="J15" s="364"/>
      <c r="K15" s="366"/>
      <c r="L15" s="367"/>
      <c r="M15" s="368"/>
      <c r="N15" s="368"/>
      <c r="O15" s="368"/>
      <c r="P15" s="368"/>
      <c r="Q15" s="369"/>
      <c r="R15" s="370"/>
      <c r="S15" s="371"/>
      <c r="T15" s="372"/>
      <c r="U15" s="506"/>
      <c r="V15" s="371"/>
      <c r="W15" s="371"/>
      <c r="X15" s="373"/>
      <c r="Y15" s="373"/>
      <c r="Z15" s="374"/>
    </row>
    <row r="16" spans="1:26" ht="16.149999999999999" thickBot="1">
      <c r="A16" s="360"/>
      <c r="B16" s="361"/>
      <c r="C16" s="361"/>
      <c r="D16" s="362" t="s">
        <v>37</v>
      </c>
      <c r="E16" s="361" t="s">
        <v>24</v>
      </c>
      <c r="F16" s="535" t="s">
        <v>28</v>
      </c>
      <c r="G16" s="363"/>
      <c r="H16" s="363"/>
      <c r="I16" s="365"/>
      <c r="J16" s="364"/>
      <c r="K16" s="366"/>
      <c r="L16" s="367"/>
      <c r="M16" s="368"/>
      <c r="N16" s="368"/>
      <c r="O16" s="368"/>
      <c r="P16" s="368"/>
      <c r="Q16" s="369"/>
      <c r="R16" s="370"/>
      <c r="S16" s="371"/>
      <c r="T16" s="372"/>
      <c r="U16" s="506"/>
      <c r="V16" s="371"/>
      <c r="W16" s="371"/>
      <c r="X16" s="373"/>
      <c r="Y16" s="373"/>
      <c r="Z16" s="374"/>
    </row>
    <row r="17" spans="1:26" s="331" customFormat="1" ht="16.149999999999999" thickBot="1">
      <c r="A17" s="377">
        <v>45063</v>
      </c>
      <c r="B17" s="378">
        <v>0.25</v>
      </c>
      <c r="C17" s="378" t="s">
        <v>38</v>
      </c>
      <c r="D17" s="379" t="s">
        <v>39</v>
      </c>
      <c r="E17" s="378"/>
      <c r="F17" s="536" t="s">
        <v>29</v>
      </c>
      <c r="G17" s="380">
        <v>20.227399999999999</v>
      </c>
      <c r="H17" s="380">
        <v>23.875599999999999</v>
      </c>
      <c r="I17" s="382">
        <v>21.752300000000002</v>
      </c>
      <c r="J17" s="381">
        <v>23.569900000000001</v>
      </c>
      <c r="K17" s="383">
        <v>24.431999999999999</v>
      </c>
      <c r="L17" s="384">
        <v>23.425999999999998</v>
      </c>
      <c r="M17" s="385"/>
      <c r="N17" s="385"/>
      <c r="O17" s="385"/>
      <c r="P17" s="385"/>
      <c r="Q17" s="386"/>
      <c r="R17" s="387" t="s">
        <v>40</v>
      </c>
      <c r="S17" s="387"/>
      <c r="T17" s="388"/>
      <c r="U17" s="507" t="s">
        <v>41</v>
      </c>
      <c r="V17" s="387">
        <v>8.3000000000000001E-3</v>
      </c>
      <c r="W17" s="387">
        <v>-0.18</v>
      </c>
      <c r="X17" s="389"/>
      <c r="Y17" s="389"/>
      <c r="Z17" s="390" t="s">
        <v>42</v>
      </c>
    </row>
    <row r="18" spans="1:26">
      <c r="A18" s="360">
        <v>45069</v>
      </c>
      <c r="B18" s="361">
        <v>0.70277777777777783</v>
      </c>
      <c r="C18" s="361" t="s">
        <v>43</v>
      </c>
      <c r="D18" s="362" t="s">
        <v>44</v>
      </c>
      <c r="E18" s="361"/>
      <c r="F18" s="535" t="s">
        <v>25</v>
      </c>
      <c r="G18" s="363">
        <v>20.227399999999999</v>
      </c>
      <c r="H18" s="363">
        <v>23.875599999999999</v>
      </c>
      <c r="I18" s="365">
        <v>21.752300000000002</v>
      </c>
      <c r="J18" s="364">
        <v>23.569900000000001</v>
      </c>
      <c r="K18" s="366">
        <v>24.44</v>
      </c>
      <c r="L18" s="367">
        <v>23.42</v>
      </c>
      <c r="M18" s="368"/>
      <c r="N18" s="368"/>
      <c r="O18" s="368"/>
      <c r="P18" s="368"/>
      <c r="Q18" s="369"/>
      <c r="R18" s="370" t="s">
        <v>45</v>
      </c>
      <c r="S18" s="371">
        <v>14</v>
      </c>
      <c r="T18" s="372">
        <v>4.0217409999999996</v>
      </c>
      <c r="U18" s="506">
        <v>165228</v>
      </c>
      <c r="V18" s="371">
        <v>2.9999999999999997E-4</v>
      </c>
      <c r="W18" s="371">
        <v>4.8999999999999998E-3</v>
      </c>
      <c r="X18" s="373"/>
      <c r="Y18" s="373"/>
      <c r="Z18" s="374" t="s">
        <v>46</v>
      </c>
    </row>
    <row r="19" spans="1:26">
      <c r="A19" s="360">
        <v>45069</v>
      </c>
      <c r="B19" s="361">
        <v>0.70624999999999993</v>
      </c>
      <c r="C19" s="361" t="s">
        <v>43</v>
      </c>
      <c r="D19" s="362" t="s">
        <v>44</v>
      </c>
      <c r="E19" s="361"/>
      <c r="F19" s="535" t="s">
        <v>26</v>
      </c>
      <c r="G19" s="363">
        <v>20.227399999999999</v>
      </c>
      <c r="H19" s="363">
        <v>23.875599999999999</v>
      </c>
      <c r="I19" s="365">
        <v>21.752300000000002</v>
      </c>
      <c r="J19" s="364">
        <v>23.569900000000001</v>
      </c>
      <c r="K19" s="366">
        <v>24.44</v>
      </c>
      <c r="L19" s="367">
        <v>23.42</v>
      </c>
      <c r="M19" s="375"/>
      <c r="N19" s="368"/>
      <c r="O19" s="368"/>
      <c r="P19" s="368"/>
      <c r="Q19" s="369"/>
      <c r="R19" s="370" t="s">
        <v>47</v>
      </c>
      <c r="S19" s="371"/>
      <c r="T19" s="372"/>
      <c r="U19" s="506">
        <v>165724</v>
      </c>
      <c r="V19" s="371"/>
      <c r="W19" s="371"/>
      <c r="X19" s="391">
        <v>809.75300000000004</v>
      </c>
      <c r="Y19" s="391">
        <v>598.75</v>
      </c>
      <c r="Z19" s="374" t="s">
        <v>48</v>
      </c>
    </row>
    <row r="20" spans="1:26">
      <c r="A20" s="360">
        <v>45069</v>
      </c>
      <c r="B20" s="361">
        <v>0.71180555555555547</v>
      </c>
      <c r="C20" s="361" t="s">
        <v>43</v>
      </c>
      <c r="D20" s="362" t="s">
        <v>44</v>
      </c>
      <c r="E20" s="361"/>
      <c r="F20" s="535" t="s">
        <v>27</v>
      </c>
      <c r="G20" s="363">
        <v>20.227399999999999</v>
      </c>
      <c r="H20" s="363">
        <v>23.875599999999999</v>
      </c>
      <c r="I20" s="365">
        <v>21.752300000000002</v>
      </c>
      <c r="J20" s="364">
        <v>23.569900000000001</v>
      </c>
      <c r="K20" s="366">
        <v>24.152999999999999</v>
      </c>
      <c r="L20" s="367">
        <v>23.754999999999999</v>
      </c>
      <c r="M20" s="619"/>
      <c r="N20" s="368"/>
      <c r="O20" s="368"/>
      <c r="P20" s="368"/>
      <c r="Q20" s="369"/>
      <c r="R20" s="371"/>
      <c r="S20" s="371">
        <v>15</v>
      </c>
      <c r="T20" s="372">
        <v>4.0322649999999998</v>
      </c>
      <c r="U20" s="506"/>
      <c r="V20" s="371"/>
      <c r="W20" s="371"/>
      <c r="X20" s="373"/>
      <c r="Y20" s="373"/>
      <c r="Z20" s="374" t="s">
        <v>49</v>
      </c>
    </row>
    <row r="21" spans="1:26">
      <c r="A21" s="360">
        <v>45069</v>
      </c>
      <c r="B21" s="361">
        <v>0.71666666666666667</v>
      </c>
      <c r="C21" s="361" t="s">
        <v>43</v>
      </c>
      <c r="D21" s="362" t="s">
        <v>44</v>
      </c>
      <c r="E21" s="361"/>
      <c r="F21" s="535" t="s">
        <v>28</v>
      </c>
      <c r="G21" s="363">
        <v>20.227399999999999</v>
      </c>
      <c r="H21" s="363">
        <v>23.875599999999999</v>
      </c>
      <c r="I21" s="365">
        <v>21.752300000000002</v>
      </c>
      <c r="J21" s="364">
        <v>23.569900000000001</v>
      </c>
      <c r="K21" s="366">
        <v>24.63</v>
      </c>
      <c r="L21" s="367">
        <v>23.18</v>
      </c>
      <c r="M21" s="368"/>
      <c r="N21" s="368"/>
      <c r="O21" s="368"/>
      <c r="P21" s="368"/>
      <c r="Q21" s="369"/>
      <c r="R21" s="370"/>
      <c r="S21" s="371">
        <v>11</v>
      </c>
      <c r="T21" s="372">
        <v>4.7633279999999996</v>
      </c>
      <c r="U21" s="506"/>
      <c r="V21" s="371"/>
      <c r="W21" s="371"/>
      <c r="X21" s="373"/>
      <c r="Y21" s="373"/>
      <c r="Z21" s="374" t="s">
        <v>50</v>
      </c>
    </row>
    <row r="22" spans="1:26" s="341" customFormat="1">
      <c r="A22" s="620">
        <v>45070</v>
      </c>
      <c r="B22" s="406">
        <v>0.43055555555555558</v>
      </c>
      <c r="C22" s="406" t="s">
        <v>43</v>
      </c>
      <c r="D22" s="362" t="s">
        <v>44</v>
      </c>
      <c r="E22" s="406"/>
      <c r="F22" s="538" t="s">
        <v>25</v>
      </c>
      <c r="G22" s="621">
        <v>20.227399999999999</v>
      </c>
      <c r="H22" s="621">
        <v>23.875599999999999</v>
      </c>
      <c r="I22" s="408">
        <v>21.752300000000002</v>
      </c>
      <c r="J22" s="407">
        <v>23.569900000000001</v>
      </c>
      <c r="K22" s="622">
        <v>24.434999999999999</v>
      </c>
      <c r="L22" s="409">
        <v>23.417999999999999</v>
      </c>
      <c r="M22" s="623"/>
      <c r="N22" s="623"/>
      <c r="O22" s="623"/>
      <c r="P22" s="623"/>
      <c r="Q22" s="410"/>
      <c r="R22" s="624" t="s">
        <v>51</v>
      </c>
      <c r="S22" s="411">
        <v>11</v>
      </c>
      <c r="T22" s="625">
        <v>4.0217710000000002</v>
      </c>
      <c r="U22" s="626"/>
      <c r="V22" s="411">
        <v>-5.3E-3</v>
      </c>
      <c r="W22" s="411">
        <v>1.15E-2</v>
      </c>
      <c r="X22" s="412"/>
      <c r="Y22" s="412"/>
      <c r="Z22" s="627" t="s">
        <v>46</v>
      </c>
    </row>
    <row r="23" spans="1:26" s="341" customFormat="1">
      <c r="A23" s="620">
        <v>45070</v>
      </c>
      <c r="B23" s="406">
        <v>0.4368055555555555</v>
      </c>
      <c r="C23" s="406" t="s">
        <v>43</v>
      </c>
      <c r="D23" s="362" t="s">
        <v>44</v>
      </c>
      <c r="E23" s="406"/>
      <c r="F23" s="538" t="s">
        <v>26</v>
      </c>
      <c r="G23" s="621">
        <v>20.227399999999999</v>
      </c>
      <c r="H23" s="621">
        <v>23.875599999999999</v>
      </c>
      <c r="I23" s="408">
        <v>21.752300000000002</v>
      </c>
      <c r="J23" s="407">
        <v>23.569900000000001</v>
      </c>
      <c r="K23" s="622">
        <v>24.44</v>
      </c>
      <c r="L23" s="409">
        <v>23.42</v>
      </c>
      <c r="M23" s="628"/>
      <c r="N23" s="623"/>
      <c r="O23" s="623"/>
      <c r="P23" s="623"/>
      <c r="Q23" s="410"/>
      <c r="R23" s="624" t="s">
        <v>47</v>
      </c>
      <c r="S23" s="411"/>
      <c r="T23" s="625"/>
      <c r="U23" s="626"/>
      <c r="V23" s="411"/>
      <c r="W23" s="411"/>
      <c r="X23" s="629">
        <v>813.61</v>
      </c>
      <c r="Y23" s="629">
        <v>598.59</v>
      </c>
      <c r="Z23" s="627" t="s">
        <v>48</v>
      </c>
    </row>
    <row r="24" spans="1:26">
      <c r="A24" s="360">
        <v>45070</v>
      </c>
      <c r="B24" s="361">
        <v>0.45833333333333331</v>
      </c>
      <c r="C24" s="361" t="s">
        <v>43</v>
      </c>
      <c r="D24" s="362" t="s">
        <v>44</v>
      </c>
      <c r="E24" s="361"/>
      <c r="F24" s="535" t="s">
        <v>27</v>
      </c>
      <c r="G24" s="363">
        <v>20.227399999999999</v>
      </c>
      <c r="H24" s="363">
        <v>23.875599999999999</v>
      </c>
      <c r="I24" s="365">
        <v>21.752300000000002</v>
      </c>
      <c r="J24" s="364">
        <v>23.569900000000001</v>
      </c>
      <c r="K24" s="366">
        <v>24.44</v>
      </c>
      <c r="L24" s="367">
        <v>23.42</v>
      </c>
      <c r="M24" s="619"/>
      <c r="N24" s="368"/>
      <c r="O24" s="368"/>
      <c r="P24" s="368"/>
      <c r="Q24" s="369"/>
      <c r="R24" s="371"/>
      <c r="S24" s="371">
        <v>12</v>
      </c>
      <c r="T24" s="372">
        <v>4.0322649999999998</v>
      </c>
      <c r="U24" s="506"/>
      <c r="V24" s="371"/>
      <c r="W24" s="371"/>
      <c r="X24" s="373"/>
      <c r="Y24" s="373"/>
      <c r="Z24" s="374"/>
    </row>
    <row r="25" spans="1:26">
      <c r="A25" s="360">
        <v>45070</v>
      </c>
      <c r="B25" s="361">
        <v>0.45833333333333331</v>
      </c>
      <c r="C25" s="361" t="s">
        <v>43</v>
      </c>
      <c r="D25" s="362" t="s">
        <v>44</v>
      </c>
      <c r="E25" s="361"/>
      <c r="F25" s="535" t="s">
        <v>28</v>
      </c>
      <c r="G25" s="363">
        <v>20.312000000000001</v>
      </c>
      <c r="H25" s="363">
        <v>23.7254</v>
      </c>
      <c r="I25" s="365">
        <v>21.523599999999998</v>
      </c>
      <c r="J25" s="364">
        <v>23.6494</v>
      </c>
      <c r="K25" s="366">
        <v>24.63</v>
      </c>
      <c r="L25" s="367">
        <v>23.18</v>
      </c>
      <c r="M25" s="368"/>
      <c r="N25" s="368"/>
      <c r="O25" s="368"/>
      <c r="P25" s="368"/>
      <c r="Q25" s="369"/>
      <c r="R25" s="370"/>
      <c r="S25" s="371">
        <v>9</v>
      </c>
      <c r="T25" s="372">
        <v>4.7633210000000004</v>
      </c>
      <c r="U25" s="506"/>
      <c r="V25" s="371"/>
      <c r="W25" s="371"/>
      <c r="X25" s="373"/>
      <c r="Y25" s="373"/>
      <c r="Z25" s="374"/>
    </row>
    <row r="26" spans="1:26" ht="15.75" customHeight="1">
      <c r="A26" s="360">
        <v>45070</v>
      </c>
      <c r="B26" s="361">
        <v>0.45833333333333331</v>
      </c>
      <c r="C26" s="361" t="s">
        <v>43</v>
      </c>
      <c r="D26" s="362" t="s">
        <v>44</v>
      </c>
      <c r="E26" s="361"/>
      <c r="F26" s="535" t="s">
        <v>25</v>
      </c>
      <c r="G26" s="363">
        <v>20.312000000000001</v>
      </c>
      <c r="H26" s="363">
        <v>23.7254</v>
      </c>
      <c r="I26" s="365">
        <v>21.523599999999998</v>
      </c>
      <c r="J26" s="364">
        <v>23.6494</v>
      </c>
      <c r="K26" s="366">
        <v>24.44</v>
      </c>
      <c r="L26" s="367">
        <v>23.42</v>
      </c>
      <c r="M26" s="368"/>
      <c r="N26" s="368"/>
      <c r="O26" s="368"/>
      <c r="P26" s="368"/>
      <c r="Q26" s="369"/>
      <c r="R26" s="370" t="s">
        <v>51</v>
      </c>
      <c r="S26" s="371"/>
      <c r="T26" s="372"/>
      <c r="U26" s="506"/>
      <c r="V26" s="371">
        <v>1.6999999999999999E-3</v>
      </c>
      <c r="W26" s="371">
        <v>3.2000000000000002E-3</v>
      </c>
      <c r="X26" s="373"/>
      <c r="Y26" s="373"/>
      <c r="Z26" s="630"/>
    </row>
    <row r="27" spans="1:26">
      <c r="A27" s="360">
        <v>45070</v>
      </c>
      <c r="B27" s="361">
        <v>0.48194444444444445</v>
      </c>
      <c r="C27" s="361" t="s">
        <v>43</v>
      </c>
      <c r="D27" s="362" t="s">
        <v>44</v>
      </c>
      <c r="E27" s="361"/>
      <c r="F27" s="535" t="s">
        <v>26</v>
      </c>
      <c r="G27" s="363">
        <v>20.312000000000001</v>
      </c>
      <c r="H27" s="363">
        <v>23.7254</v>
      </c>
      <c r="I27" s="365">
        <v>21.523599999999998</v>
      </c>
      <c r="J27" s="364">
        <v>23.6494</v>
      </c>
      <c r="K27" s="366">
        <v>24.44</v>
      </c>
      <c r="L27" s="367">
        <v>23.42</v>
      </c>
      <c r="M27" s="375"/>
      <c r="N27" s="368"/>
      <c r="O27" s="368"/>
      <c r="P27" s="368"/>
      <c r="Q27" s="369"/>
      <c r="R27" s="370" t="s">
        <v>47</v>
      </c>
      <c r="S27" s="371"/>
      <c r="T27" s="372"/>
      <c r="U27" s="506">
        <v>113229</v>
      </c>
      <c r="V27" s="371"/>
      <c r="W27" s="371"/>
      <c r="X27" s="391">
        <v>807.52300000000002</v>
      </c>
      <c r="Y27" s="391">
        <v>603.56200000000001</v>
      </c>
      <c r="Z27" s="630"/>
    </row>
    <row r="28" spans="1:26">
      <c r="A28" s="360">
        <v>45070</v>
      </c>
      <c r="B28" s="361">
        <v>0.5</v>
      </c>
      <c r="C28" s="361" t="s">
        <v>43</v>
      </c>
      <c r="D28" s="362" t="s">
        <v>44</v>
      </c>
      <c r="E28" s="361"/>
      <c r="F28" s="535" t="s">
        <v>25</v>
      </c>
      <c r="G28" s="363">
        <v>20.312000000000001</v>
      </c>
      <c r="H28" s="363">
        <v>23.7254</v>
      </c>
      <c r="I28" s="365">
        <v>21.523599999999998</v>
      </c>
      <c r="J28" s="364">
        <v>23.6494</v>
      </c>
      <c r="K28" s="366">
        <v>24.44</v>
      </c>
      <c r="L28" s="367">
        <v>23.42</v>
      </c>
      <c r="M28" s="368"/>
      <c r="N28" s="368"/>
      <c r="O28" s="368"/>
      <c r="P28" s="368"/>
      <c r="Q28" s="369"/>
      <c r="R28" s="370" t="s">
        <v>45</v>
      </c>
      <c r="S28" s="371">
        <v>17</v>
      </c>
      <c r="T28" s="372">
        <v>4.0217400000000003</v>
      </c>
      <c r="U28" s="506">
        <v>115854</v>
      </c>
      <c r="V28" s="371">
        <v>-2.2000000000000001E-3</v>
      </c>
      <c r="W28" s="371">
        <v>2.8E-3</v>
      </c>
      <c r="X28" s="373"/>
      <c r="Y28" s="373"/>
      <c r="Z28" s="630"/>
    </row>
    <row r="29" spans="1:26">
      <c r="A29" s="360">
        <v>45070</v>
      </c>
      <c r="B29" s="361">
        <v>0.48888888888888887</v>
      </c>
      <c r="C29" s="361" t="s">
        <v>43</v>
      </c>
      <c r="D29" s="362" t="s">
        <v>44</v>
      </c>
      <c r="E29" s="361"/>
      <c r="F29" s="535" t="s">
        <v>26</v>
      </c>
      <c r="G29" s="363">
        <v>20.312000000000001</v>
      </c>
      <c r="H29" s="363">
        <v>23.7254</v>
      </c>
      <c r="I29" s="365">
        <v>21.523599999999998</v>
      </c>
      <c r="J29" s="364">
        <v>23.6494</v>
      </c>
      <c r="K29" s="366">
        <v>24.44</v>
      </c>
      <c r="L29" s="367">
        <v>23.42</v>
      </c>
      <c r="M29" s="375"/>
      <c r="N29" s="368"/>
      <c r="O29" s="368"/>
      <c r="P29" s="368"/>
      <c r="Q29" s="369"/>
      <c r="R29" s="370" t="s">
        <v>47</v>
      </c>
      <c r="S29" s="371"/>
      <c r="T29" s="372"/>
      <c r="U29" s="506"/>
      <c r="V29" s="371"/>
      <c r="W29" s="371"/>
      <c r="X29" s="391">
        <v>807.48</v>
      </c>
      <c r="Y29" s="391">
        <v>601.85</v>
      </c>
      <c r="Z29" s="630"/>
    </row>
    <row r="30" spans="1:26">
      <c r="A30" s="360">
        <v>45070</v>
      </c>
      <c r="B30" s="361">
        <v>0.51458333333333328</v>
      </c>
      <c r="C30" s="361" t="s">
        <v>43</v>
      </c>
      <c r="D30" s="362" t="s">
        <v>44</v>
      </c>
      <c r="E30" s="361"/>
      <c r="F30" s="535" t="s">
        <v>25</v>
      </c>
      <c r="G30" s="363">
        <v>20.312000000000001</v>
      </c>
      <c r="H30" s="363">
        <v>23.7254</v>
      </c>
      <c r="I30" s="365">
        <v>21.523599999999998</v>
      </c>
      <c r="J30" s="364">
        <v>23.6494</v>
      </c>
      <c r="K30" s="366">
        <v>24.44</v>
      </c>
      <c r="L30" s="367">
        <v>23.42</v>
      </c>
      <c r="M30" s="368"/>
      <c r="N30" s="368"/>
      <c r="O30" s="368"/>
      <c r="P30" s="368"/>
      <c r="Q30" s="369"/>
      <c r="R30" s="370" t="s">
        <v>45</v>
      </c>
      <c r="S30" s="371">
        <v>16</v>
      </c>
      <c r="T30" s="372">
        <v>4.0217280000000004</v>
      </c>
      <c r="U30" s="506">
        <v>122011</v>
      </c>
      <c r="V30" s="371">
        <v>-9.1000000000000004E-3</v>
      </c>
      <c r="W30" s="371">
        <v>9.1000000000000004E-3</v>
      </c>
      <c r="X30" s="373"/>
      <c r="Y30" s="373"/>
      <c r="Z30" s="630"/>
    </row>
    <row r="31" spans="1:26">
      <c r="A31" s="360">
        <v>45070</v>
      </c>
      <c r="B31" s="361">
        <v>0.52152777777777781</v>
      </c>
      <c r="C31" s="361" t="s">
        <v>43</v>
      </c>
      <c r="D31" s="362" t="s">
        <v>44</v>
      </c>
      <c r="E31" s="361"/>
      <c r="F31" s="535" t="s">
        <v>26</v>
      </c>
      <c r="G31" s="363">
        <v>20.312000000000001</v>
      </c>
      <c r="H31" s="363">
        <v>23.7254</v>
      </c>
      <c r="I31" s="365">
        <v>21.523599999999998</v>
      </c>
      <c r="J31" s="364">
        <v>23.6494</v>
      </c>
      <c r="K31" s="366">
        <v>24.44</v>
      </c>
      <c r="L31" s="367">
        <v>23.42</v>
      </c>
      <c r="M31" s="375"/>
      <c r="N31" s="368"/>
      <c r="O31" s="368"/>
      <c r="P31" s="368"/>
      <c r="Q31" s="369"/>
      <c r="R31" s="370" t="s">
        <v>47</v>
      </c>
      <c r="S31" s="371"/>
      <c r="T31" s="372"/>
      <c r="U31" s="506">
        <v>122920</v>
      </c>
      <c r="V31" s="371"/>
      <c r="W31" s="371"/>
      <c r="X31" s="391">
        <v>813.65499999999997</v>
      </c>
      <c r="Y31" s="391">
        <v>595.84</v>
      </c>
      <c r="Z31" s="630"/>
    </row>
    <row r="32" spans="1:26">
      <c r="A32" s="360">
        <v>45070</v>
      </c>
      <c r="B32" s="361">
        <v>0.53125</v>
      </c>
      <c r="C32" s="361" t="s">
        <v>43</v>
      </c>
      <c r="D32" s="362" t="s">
        <v>44</v>
      </c>
      <c r="E32" s="361"/>
      <c r="F32" s="535" t="s">
        <v>25</v>
      </c>
      <c r="G32" s="363">
        <v>20.312000000000001</v>
      </c>
      <c r="H32" s="363">
        <v>23.7254</v>
      </c>
      <c r="I32" s="365">
        <v>21.523599999999998</v>
      </c>
      <c r="J32" s="364">
        <v>23.6494</v>
      </c>
      <c r="K32" s="366">
        <v>24.44</v>
      </c>
      <c r="L32" s="367">
        <v>23.42</v>
      </c>
      <c r="M32" s="368">
        <v>-2147</v>
      </c>
      <c r="N32" s="368">
        <v>-65</v>
      </c>
      <c r="O32" s="368">
        <v>-60.008000000000003</v>
      </c>
      <c r="P32" s="368">
        <v>0</v>
      </c>
      <c r="Q32" s="369">
        <v>-5.0000000000000001E-4</v>
      </c>
      <c r="R32" s="370" t="s">
        <v>45</v>
      </c>
      <c r="S32" s="371"/>
      <c r="T32" s="372"/>
      <c r="U32" s="506">
        <v>124316</v>
      </c>
      <c r="V32" s="371">
        <v>-9.4000000000000004E-3</v>
      </c>
      <c r="W32" s="371">
        <v>9.7999999999999997E-3</v>
      </c>
      <c r="X32" s="373"/>
      <c r="Y32" s="373"/>
      <c r="Z32" s="374"/>
    </row>
    <row r="33" spans="1:26" s="343" customFormat="1">
      <c r="A33" s="392">
        <v>45070</v>
      </c>
      <c r="B33" s="393">
        <v>0.52916666666666667</v>
      </c>
      <c r="C33" s="393" t="s">
        <v>43</v>
      </c>
      <c r="D33" s="394" t="s">
        <v>44</v>
      </c>
      <c r="E33" s="393"/>
      <c r="F33" s="537" t="s">
        <v>26</v>
      </c>
      <c r="G33" s="395">
        <v>20.312000000000001</v>
      </c>
      <c r="H33" s="395">
        <v>23.7254</v>
      </c>
      <c r="I33" s="397">
        <v>21.523599999999998</v>
      </c>
      <c r="J33" s="396">
        <v>23.6494</v>
      </c>
      <c r="K33" s="398">
        <v>24.44</v>
      </c>
      <c r="L33" s="399">
        <v>23.42</v>
      </c>
      <c r="M33" s="400">
        <v>-2147</v>
      </c>
      <c r="N33" s="400">
        <v>-65</v>
      </c>
      <c r="O33" s="400">
        <v>-60.008000000000003</v>
      </c>
      <c r="P33" s="400">
        <v>0</v>
      </c>
      <c r="Q33" s="401">
        <v>-5.0000000000000001E-4</v>
      </c>
      <c r="R33" s="402" t="s">
        <v>52</v>
      </c>
      <c r="S33" s="403"/>
      <c r="T33" s="404"/>
      <c r="U33" s="508">
        <v>124018</v>
      </c>
      <c r="V33" s="403"/>
      <c r="W33" s="403"/>
      <c r="X33" s="413">
        <v>813.59500000000003</v>
      </c>
      <c r="Y33" s="413">
        <v>595.78</v>
      </c>
      <c r="Z33" s="405"/>
    </row>
    <row r="34" spans="1:26">
      <c r="A34" s="360"/>
      <c r="B34" s="361"/>
      <c r="C34" s="361"/>
      <c r="D34" s="362" t="s">
        <v>53</v>
      </c>
      <c r="E34" s="361"/>
      <c r="F34" s="535"/>
      <c r="G34" s="363"/>
      <c r="H34" s="363"/>
      <c r="I34" s="365"/>
      <c r="J34" s="364"/>
      <c r="K34" s="366"/>
      <c r="L34" s="367"/>
      <c r="M34" s="368"/>
      <c r="N34" s="368"/>
      <c r="O34" s="368"/>
      <c r="P34" s="368"/>
      <c r="Q34" s="369"/>
      <c r="R34" s="370"/>
      <c r="S34" s="371"/>
      <c r="T34" s="372"/>
      <c r="U34" s="506"/>
      <c r="V34" s="371"/>
      <c r="W34" s="371"/>
      <c r="X34" s="391"/>
      <c r="Y34" s="391"/>
      <c r="Z34" s="374"/>
    </row>
    <row r="35" spans="1:26">
      <c r="A35" s="360">
        <v>45070</v>
      </c>
      <c r="B35" s="361">
        <v>0.56041666666666667</v>
      </c>
      <c r="C35" s="361" t="s">
        <v>43</v>
      </c>
      <c r="D35" s="362" t="s">
        <v>44</v>
      </c>
      <c r="E35" s="361" t="s">
        <v>24</v>
      </c>
      <c r="F35" s="535" t="s">
        <v>25</v>
      </c>
      <c r="G35" s="363">
        <v>20.312000000000001</v>
      </c>
      <c r="H35" s="363">
        <v>23.7254</v>
      </c>
      <c r="I35" s="365">
        <v>21.523599999999998</v>
      </c>
      <c r="J35" s="364">
        <v>23.6494</v>
      </c>
      <c r="K35" s="366">
        <v>24.44</v>
      </c>
      <c r="L35" s="367">
        <v>23.42</v>
      </c>
      <c r="M35" s="414">
        <v>-2147</v>
      </c>
      <c r="N35" s="414">
        <v>-65</v>
      </c>
      <c r="O35" s="414">
        <v>-60.008000000000003</v>
      </c>
      <c r="P35" s="368">
        <v>0</v>
      </c>
      <c r="Q35" s="369">
        <v>-5.0000000000000001E-4</v>
      </c>
      <c r="R35" s="370" t="s">
        <v>45</v>
      </c>
      <c r="S35" s="371">
        <v>13</v>
      </c>
      <c r="T35" s="372">
        <v>4.0217289999999997</v>
      </c>
      <c r="U35" s="506">
        <v>132329</v>
      </c>
      <c r="V35" s="371">
        <v>-9.7999999999999997E-3</v>
      </c>
      <c r="W35" s="371">
        <v>1.01E-2</v>
      </c>
      <c r="X35" s="373"/>
      <c r="Y35" s="373"/>
      <c r="Z35" s="374"/>
    </row>
    <row r="36" spans="1:26">
      <c r="A36" s="360">
        <v>45070</v>
      </c>
      <c r="B36" s="361">
        <v>0.5625</v>
      </c>
      <c r="C36" s="361" t="s">
        <v>43</v>
      </c>
      <c r="D36" s="362" t="s">
        <v>44</v>
      </c>
      <c r="E36" s="361" t="s">
        <v>24</v>
      </c>
      <c r="F36" s="535" t="s">
        <v>26</v>
      </c>
      <c r="G36" s="363">
        <v>20.312000000000001</v>
      </c>
      <c r="H36" s="363">
        <v>23.7254</v>
      </c>
      <c r="I36" s="365">
        <v>21.523599999999998</v>
      </c>
      <c r="J36" s="364">
        <v>23.6494</v>
      </c>
      <c r="K36" s="366">
        <v>24.44</v>
      </c>
      <c r="L36" s="367">
        <v>23.42</v>
      </c>
      <c r="M36" s="414">
        <v>-2147</v>
      </c>
      <c r="N36" s="414">
        <v>-65</v>
      </c>
      <c r="O36" s="414">
        <v>-60.008000000000003</v>
      </c>
      <c r="P36" s="368">
        <v>0</v>
      </c>
      <c r="Q36" s="369">
        <v>-5.0000000000000001E-4</v>
      </c>
      <c r="R36" s="370" t="s">
        <v>54</v>
      </c>
      <c r="S36" s="371"/>
      <c r="T36" s="372"/>
      <c r="U36" s="506">
        <v>132911</v>
      </c>
      <c r="V36" s="371"/>
      <c r="W36" s="371"/>
      <c r="X36" s="391">
        <v>813.74099999999999</v>
      </c>
      <c r="Y36" s="391">
        <v>595.76599999999996</v>
      </c>
      <c r="Z36" s="374"/>
    </row>
    <row r="37" spans="1:26">
      <c r="A37" s="360">
        <v>45070</v>
      </c>
      <c r="B37" s="361">
        <v>0.56527777777777777</v>
      </c>
      <c r="C37" s="361" t="s">
        <v>43</v>
      </c>
      <c r="D37" s="362" t="s">
        <v>44</v>
      </c>
      <c r="E37" s="361" t="s">
        <v>24</v>
      </c>
      <c r="F37" s="535" t="s">
        <v>27</v>
      </c>
      <c r="G37" s="363">
        <v>20.312000000000001</v>
      </c>
      <c r="H37" s="363">
        <v>23.7254</v>
      </c>
      <c r="I37" s="365">
        <v>21.523599999999998</v>
      </c>
      <c r="J37" s="364">
        <v>23.6494</v>
      </c>
      <c r="K37" s="366">
        <v>24.152999999999999</v>
      </c>
      <c r="L37" s="367">
        <v>23.754999999999999</v>
      </c>
      <c r="M37" s="414">
        <v>-2147</v>
      </c>
      <c r="N37" s="414">
        <v>-65</v>
      </c>
      <c r="O37" s="414">
        <v>-60.008000000000003</v>
      </c>
      <c r="P37" s="368">
        <v>0</v>
      </c>
      <c r="Q37" s="369">
        <v>-5.0000000000000001E-4</v>
      </c>
      <c r="R37" s="371"/>
      <c r="S37" s="371">
        <v>10</v>
      </c>
      <c r="T37" s="372">
        <v>4.0322449999999996</v>
      </c>
      <c r="U37" s="506"/>
      <c r="V37" s="371"/>
      <c r="W37" s="371"/>
      <c r="X37" s="373"/>
      <c r="Y37" s="373"/>
      <c r="Z37" s="374"/>
    </row>
    <row r="38" spans="1:26">
      <c r="A38" s="360">
        <v>45070</v>
      </c>
      <c r="B38" s="361">
        <v>0.56805555555555554</v>
      </c>
      <c r="C38" s="361" t="s">
        <v>43</v>
      </c>
      <c r="D38" s="362" t="s">
        <v>44</v>
      </c>
      <c r="E38" s="361" t="s">
        <v>24</v>
      </c>
      <c r="F38" s="535" t="s">
        <v>28</v>
      </c>
      <c r="G38" s="363">
        <v>20.312000000000001</v>
      </c>
      <c r="H38" s="363">
        <v>23.7254</v>
      </c>
      <c r="I38" s="365">
        <v>21.523599999999998</v>
      </c>
      <c r="J38" s="364">
        <v>23.6494</v>
      </c>
      <c r="K38" s="366">
        <v>24.63</v>
      </c>
      <c r="L38" s="367">
        <v>23.18</v>
      </c>
      <c r="M38" s="414">
        <v>-2147</v>
      </c>
      <c r="N38" s="414">
        <v>-65</v>
      </c>
      <c r="O38" s="414">
        <v>-60.008000000000003</v>
      </c>
      <c r="P38" s="368">
        <v>0</v>
      </c>
      <c r="Q38" s="369">
        <v>-5.0000000000000001E-4</v>
      </c>
      <c r="R38" s="370"/>
      <c r="S38" s="371">
        <v>7</v>
      </c>
      <c r="T38" s="372">
        <v>4.7633140000000003</v>
      </c>
      <c r="U38" s="506"/>
      <c r="V38" s="371"/>
      <c r="W38" s="371"/>
      <c r="X38" s="373"/>
      <c r="Y38" s="373"/>
      <c r="Z38" s="374"/>
    </row>
    <row r="39" spans="1:26">
      <c r="A39" s="360">
        <v>45070</v>
      </c>
      <c r="B39" s="361">
        <v>0.5854166666666667</v>
      </c>
      <c r="C39" s="361" t="s">
        <v>43</v>
      </c>
      <c r="D39" s="362" t="s">
        <v>44</v>
      </c>
      <c r="E39" s="361"/>
      <c r="F39" s="535" t="s">
        <v>31</v>
      </c>
      <c r="G39" s="363">
        <v>20.312000000000001</v>
      </c>
      <c r="H39" s="363">
        <v>23.7254</v>
      </c>
      <c r="I39" s="365">
        <v>21.523599999999998</v>
      </c>
      <c r="J39" s="364">
        <v>23.6494</v>
      </c>
      <c r="K39" s="366">
        <v>24.44</v>
      </c>
      <c r="L39" s="367">
        <v>23.42</v>
      </c>
      <c r="M39" s="414">
        <v>101.512</v>
      </c>
      <c r="N39" s="414">
        <v>125.718</v>
      </c>
      <c r="O39" s="414">
        <v>0</v>
      </c>
      <c r="P39" s="368">
        <v>0.128</v>
      </c>
      <c r="Q39" s="369">
        <v>8.2199999999999995E-2</v>
      </c>
      <c r="R39" s="370" t="s">
        <v>45</v>
      </c>
      <c r="S39" s="371"/>
      <c r="T39" s="372"/>
      <c r="U39" s="506"/>
      <c r="V39" s="371">
        <v>1.14E-2</v>
      </c>
      <c r="W39" s="371">
        <v>1.8800000000000001E-2</v>
      </c>
      <c r="X39" s="373"/>
      <c r="Y39" s="373"/>
      <c r="Z39" s="374"/>
    </row>
    <row r="40" spans="1:26">
      <c r="A40" s="360">
        <v>45070</v>
      </c>
      <c r="B40" s="361">
        <v>0.6</v>
      </c>
      <c r="C40" s="361" t="s">
        <v>43</v>
      </c>
      <c r="D40" s="362" t="s">
        <v>44</v>
      </c>
      <c r="E40" s="361" t="s">
        <v>24</v>
      </c>
      <c r="F40" s="535" t="s">
        <v>31</v>
      </c>
      <c r="G40" s="363">
        <v>20.312000000000001</v>
      </c>
      <c r="H40" s="363">
        <v>23.7254</v>
      </c>
      <c r="I40" s="365">
        <v>21.523599999999998</v>
      </c>
      <c r="J40" s="364">
        <v>23.6494</v>
      </c>
      <c r="K40" s="366">
        <v>24.44</v>
      </c>
      <c r="L40" s="367">
        <v>23.42</v>
      </c>
      <c r="M40" s="414">
        <v>101.512</v>
      </c>
      <c r="N40" s="414">
        <v>125.718</v>
      </c>
      <c r="O40" s="414">
        <v>0</v>
      </c>
      <c r="P40" s="368">
        <v>0.1056007925141379</v>
      </c>
      <c r="Q40" s="369">
        <v>8.7037923522059746E-2</v>
      </c>
      <c r="R40" s="370" t="s">
        <v>45</v>
      </c>
      <c r="S40" s="371">
        <v>18</v>
      </c>
      <c r="T40" s="372">
        <v>3.472194</v>
      </c>
      <c r="U40" s="506">
        <v>142345</v>
      </c>
      <c r="V40" s="371">
        <v>-8.3999999999999995E-3</v>
      </c>
      <c r="W40" s="371">
        <v>9.7999999999999997E-3</v>
      </c>
      <c r="X40" s="373"/>
      <c r="Y40" s="373"/>
      <c r="Z40" s="374"/>
    </row>
    <row r="41" spans="1:26">
      <c r="A41" s="360">
        <v>45070</v>
      </c>
      <c r="B41" s="361">
        <v>0.62916666666666665</v>
      </c>
      <c r="C41" s="361" t="s">
        <v>43</v>
      </c>
      <c r="D41" s="362" t="s">
        <v>44</v>
      </c>
      <c r="E41" s="361"/>
      <c r="F41" s="535" t="s">
        <v>32</v>
      </c>
      <c r="G41" s="363">
        <v>20.312000000000001</v>
      </c>
      <c r="H41" s="363">
        <v>23.7254</v>
      </c>
      <c r="I41" s="365">
        <v>21.523599999999998</v>
      </c>
      <c r="J41" s="364">
        <v>23.6494</v>
      </c>
      <c r="K41" s="366">
        <v>24.44</v>
      </c>
      <c r="L41" s="367">
        <v>23.42</v>
      </c>
      <c r="M41" s="414">
        <v>88.614999999999995</v>
      </c>
      <c r="N41" s="414">
        <v>108.614</v>
      </c>
      <c r="O41" s="414">
        <v>0</v>
      </c>
      <c r="P41" s="368">
        <v>0.1056</v>
      </c>
      <c r="Q41" s="369">
        <v>8.7099999999999997E-2</v>
      </c>
      <c r="R41" s="370">
        <v>1128</v>
      </c>
      <c r="S41" s="371"/>
      <c r="T41" s="372"/>
      <c r="U41" s="506">
        <v>150627</v>
      </c>
      <c r="V41" s="371"/>
      <c r="W41" s="371"/>
      <c r="X41" s="391">
        <v>805.63599999999997</v>
      </c>
      <c r="Y41" s="391">
        <v>589.99300000000005</v>
      </c>
      <c r="Z41" s="374"/>
    </row>
    <row r="42" spans="1:26">
      <c r="A42" s="360">
        <v>45070</v>
      </c>
      <c r="B42" s="361">
        <v>0.64444444444444449</v>
      </c>
      <c r="C42" s="361" t="s">
        <v>43</v>
      </c>
      <c r="D42" s="362" t="s">
        <v>44</v>
      </c>
      <c r="E42" s="361" t="s">
        <v>24</v>
      </c>
      <c r="F42" s="535" t="s">
        <v>32</v>
      </c>
      <c r="G42" s="363">
        <v>20.312000000000001</v>
      </c>
      <c r="H42" s="363">
        <v>23.7254</v>
      </c>
      <c r="I42" s="365">
        <v>21.523599999999998</v>
      </c>
      <c r="J42" s="364">
        <v>23.6494</v>
      </c>
      <c r="K42" s="366">
        <v>24.44</v>
      </c>
      <c r="L42" s="367">
        <v>23.42</v>
      </c>
      <c r="M42" s="414">
        <v>88.712000000000003</v>
      </c>
      <c r="N42" s="414">
        <v>108.179</v>
      </c>
      <c r="O42" s="414">
        <v>0</v>
      </c>
      <c r="P42" s="368">
        <v>0.1056</v>
      </c>
      <c r="Q42" s="369">
        <v>8.7099999999999997E-2</v>
      </c>
      <c r="R42" s="370">
        <v>1128</v>
      </c>
      <c r="S42" s="371"/>
      <c r="T42" s="372"/>
      <c r="U42" s="506">
        <v>152712</v>
      </c>
      <c r="V42" s="371"/>
      <c r="W42" s="371"/>
      <c r="X42" s="391">
        <v>813.78200000000004</v>
      </c>
      <c r="Y42" s="391">
        <v>595.09900000000005</v>
      </c>
      <c r="Z42" s="374"/>
    </row>
    <row r="43" spans="1:26">
      <c r="A43" s="360">
        <v>45070</v>
      </c>
      <c r="B43" s="361">
        <v>0.67291666666666661</v>
      </c>
      <c r="C43" s="361" t="s">
        <v>43</v>
      </c>
      <c r="D43" s="362" t="s">
        <v>44</v>
      </c>
      <c r="E43" s="361" t="s">
        <v>24</v>
      </c>
      <c r="F43" s="535" t="s">
        <v>33</v>
      </c>
      <c r="G43" s="363">
        <v>20.312000000000001</v>
      </c>
      <c r="H43" s="363">
        <v>23.7254</v>
      </c>
      <c r="I43" s="365">
        <v>21.523599999999998</v>
      </c>
      <c r="J43" s="364">
        <v>23.6494</v>
      </c>
      <c r="K43" s="366">
        <v>24.44</v>
      </c>
      <c r="L43" s="367">
        <v>23.42</v>
      </c>
      <c r="M43" s="368">
        <v>105.901</v>
      </c>
      <c r="N43" s="368">
        <v>99.040999999999997</v>
      </c>
      <c r="O43" s="368">
        <v>-1E-3</v>
      </c>
      <c r="P43" s="368">
        <v>0.1057</v>
      </c>
      <c r="Q43" s="369">
        <v>8.6999999999999994E-2</v>
      </c>
      <c r="R43" s="371"/>
      <c r="S43" s="371">
        <v>29</v>
      </c>
      <c r="T43" s="372">
        <v>3.458612</v>
      </c>
      <c r="U43" s="506"/>
      <c r="V43" s="371"/>
      <c r="W43" s="371"/>
      <c r="X43" s="373"/>
      <c r="Y43" s="373"/>
      <c r="Z43" s="374"/>
    </row>
    <row r="44" spans="1:26">
      <c r="A44" s="360">
        <v>45070</v>
      </c>
      <c r="B44" s="361">
        <v>0.68819444444444444</v>
      </c>
      <c r="C44" s="361" t="s">
        <v>43</v>
      </c>
      <c r="D44" s="362" t="s">
        <v>44</v>
      </c>
      <c r="E44" s="361"/>
      <c r="F44" s="535" t="s">
        <v>34</v>
      </c>
      <c r="G44" s="363">
        <v>20.312000000000001</v>
      </c>
      <c r="H44" s="363">
        <v>23.7254</v>
      </c>
      <c r="I44" s="365">
        <v>21.523599999999998</v>
      </c>
      <c r="J44" s="364">
        <v>23.6494</v>
      </c>
      <c r="K44" s="366">
        <v>24.44</v>
      </c>
      <c r="L44" s="367">
        <v>23.42</v>
      </c>
      <c r="M44" s="368">
        <v>-76.114000000000004</v>
      </c>
      <c r="N44" s="368">
        <v>125.7</v>
      </c>
      <c r="O44" s="368">
        <v>-2E-3</v>
      </c>
      <c r="P44" s="368">
        <v>7.6799999999999993E-2</v>
      </c>
      <c r="Q44" s="369">
        <v>6.4899999999999999E-2</v>
      </c>
      <c r="R44" s="371" t="s">
        <v>55</v>
      </c>
      <c r="S44" s="371"/>
      <c r="T44" s="372"/>
      <c r="U44" s="506"/>
      <c r="V44" s="371">
        <v>-7.0000000000000001E-3</v>
      </c>
      <c r="W44" s="371">
        <v>-4.7999999999999996E-3</v>
      </c>
      <c r="X44" s="373"/>
      <c r="Y44" s="373"/>
      <c r="Z44" s="374"/>
    </row>
    <row r="45" spans="1:26">
      <c r="A45" s="360">
        <v>45070</v>
      </c>
      <c r="B45" s="361">
        <v>0.69027777777777777</v>
      </c>
      <c r="C45" s="361" t="s">
        <v>43</v>
      </c>
      <c r="D45" s="362" t="s">
        <v>44</v>
      </c>
      <c r="E45" s="361" t="s">
        <v>24</v>
      </c>
      <c r="F45" s="535" t="s">
        <v>34</v>
      </c>
      <c r="G45" s="363">
        <v>20.312000000000001</v>
      </c>
      <c r="H45" s="363">
        <v>23.7254</v>
      </c>
      <c r="I45" s="365">
        <v>21.523599999999998</v>
      </c>
      <c r="J45" s="364">
        <v>23.6494</v>
      </c>
      <c r="K45" s="366">
        <v>24.44</v>
      </c>
      <c r="L45" s="367">
        <v>23.42</v>
      </c>
      <c r="M45" s="368">
        <v>-76.114000000000004</v>
      </c>
      <c r="N45" s="368">
        <v>125.7</v>
      </c>
      <c r="O45" s="368">
        <v>-2E-3</v>
      </c>
      <c r="P45" s="368">
        <v>8.3000000000000004E-2</v>
      </c>
      <c r="Q45" s="369">
        <v>7.9200000000000007E-2</v>
      </c>
      <c r="R45" s="371" t="s">
        <v>55</v>
      </c>
      <c r="S45" s="371">
        <v>27</v>
      </c>
      <c r="T45" s="372">
        <v>3.4721880000000001</v>
      </c>
      <c r="U45" s="506">
        <v>163115</v>
      </c>
      <c r="V45" s="371">
        <v>-9.7999999999999997E-3</v>
      </c>
      <c r="W45" s="371">
        <v>1.12E-2</v>
      </c>
      <c r="X45" s="373"/>
      <c r="Y45" s="373"/>
      <c r="Z45" s="374"/>
    </row>
    <row r="46" spans="1:26">
      <c r="A46" s="360">
        <v>45070</v>
      </c>
      <c r="B46" s="361">
        <v>0.70763888888888893</v>
      </c>
      <c r="C46" s="361" t="s">
        <v>43</v>
      </c>
      <c r="D46" s="362" t="s">
        <v>44</v>
      </c>
      <c r="E46" s="361" t="s">
        <v>24</v>
      </c>
      <c r="F46" s="535" t="s">
        <v>35</v>
      </c>
      <c r="G46" s="363">
        <v>20.312000000000001</v>
      </c>
      <c r="H46" s="363">
        <v>23.7254</v>
      </c>
      <c r="I46" s="365">
        <v>21.523599999999998</v>
      </c>
      <c r="J46" s="364">
        <v>23.6494</v>
      </c>
      <c r="K46" s="366">
        <v>24.44</v>
      </c>
      <c r="L46" s="367">
        <v>23.42</v>
      </c>
      <c r="M46" s="368">
        <v>-60.334000000000003</v>
      </c>
      <c r="N46" s="368">
        <v>108.121</v>
      </c>
      <c r="O46" s="368">
        <v>-3.0000000000000001E-3</v>
      </c>
      <c r="P46" s="368">
        <v>8.3099999999999993E-2</v>
      </c>
      <c r="Q46" s="369">
        <v>7.9299999999999995E-2</v>
      </c>
      <c r="R46" s="370">
        <v>1128</v>
      </c>
      <c r="S46" s="371"/>
      <c r="T46" s="372"/>
      <c r="U46" s="506">
        <v>165732</v>
      </c>
      <c r="V46" s="371"/>
      <c r="W46" s="371"/>
      <c r="X46" s="391">
        <v>812.89200000000005</v>
      </c>
      <c r="Y46" s="391">
        <v>594.97400000000005</v>
      </c>
      <c r="Z46" s="374"/>
    </row>
    <row r="47" spans="1:26">
      <c r="A47" s="360">
        <v>45070</v>
      </c>
      <c r="B47" s="361">
        <v>0.72569444444444453</v>
      </c>
      <c r="C47" s="361" t="s">
        <v>43</v>
      </c>
      <c r="D47" s="362" t="s">
        <v>44</v>
      </c>
      <c r="E47" s="361"/>
      <c r="F47" s="535" t="s">
        <v>36</v>
      </c>
      <c r="G47" s="363">
        <v>20.312000000000001</v>
      </c>
      <c r="H47" s="363">
        <v>23.7254</v>
      </c>
      <c r="I47" s="365">
        <v>21.523599999999998</v>
      </c>
      <c r="J47" s="364">
        <v>23.6494</v>
      </c>
      <c r="K47" s="366">
        <v>24.44</v>
      </c>
      <c r="L47" s="367">
        <v>23.42</v>
      </c>
      <c r="M47" s="368">
        <v>-72.08</v>
      </c>
      <c r="N47" s="368">
        <v>98.977999999999994</v>
      </c>
      <c r="O47" s="368">
        <v>0</v>
      </c>
      <c r="P47" s="368">
        <v>8.3199999999999996E-2</v>
      </c>
      <c r="Q47" s="369">
        <v>7.9100000000000004E-2</v>
      </c>
      <c r="R47" s="371"/>
      <c r="S47" s="371">
        <v>11</v>
      </c>
      <c r="T47" s="372">
        <v>3.4585910000000002</v>
      </c>
      <c r="U47" s="506"/>
      <c r="V47" s="371"/>
      <c r="W47" s="371"/>
      <c r="X47" s="373"/>
      <c r="Y47" s="373"/>
      <c r="Z47" s="374"/>
    </row>
    <row r="48" spans="1:26" s="329" customFormat="1" ht="16.149999999999999" thickBot="1">
      <c r="A48" s="415"/>
      <c r="B48" s="416"/>
      <c r="C48" s="416" t="s">
        <v>43</v>
      </c>
      <c r="D48" s="417" t="s">
        <v>44</v>
      </c>
      <c r="E48" s="416"/>
      <c r="F48" s="539" t="s">
        <v>29</v>
      </c>
      <c r="G48" s="418"/>
      <c r="H48" s="418"/>
      <c r="I48" s="420"/>
      <c r="J48" s="419"/>
      <c r="K48" s="421"/>
      <c r="L48" s="422"/>
      <c r="M48" s="423"/>
      <c r="N48" s="423"/>
      <c r="O48" s="423"/>
      <c r="P48" s="423"/>
      <c r="Q48" s="424"/>
      <c r="R48" s="425"/>
      <c r="S48" s="425"/>
      <c r="T48" s="426"/>
      <c r="U48" s="509"/>
      <c r="V48" s="425"/>
      <c r="W48" s="425"/>
      <c r="X48" s="427"/>
      <c r="Y48" s="427"/>
      <c r="Z48" s="428"/>
    </row>
    <row r="49" spans="1:26">
      <c r="A49" s="429"/>
      <c r="B49" s="430"/>
      <c r="C49" s="430" t="s">
        <v>56</v>
      </c>
      <c r="D49" s="431" t="s">
        <v>57</v>
      </c>
      <c r="E49" s="430"/>
      <c r="F49" s="540" t="s">
        <v>29</v>
      </c>
      <c r="G49" s="363"/>
      <c r="H49" s="363"/>
      <c r="I49" s="365"/>
      <c r="J49" s="364"/>
      <c r="K49" s="366"/>
      <c r="L49" s="367"/>
      <c r="M49" s="368"/>
      <c r="N49" s="368"/>
      <c r="O49" s="368"/>
      <c r="P49" s="368"/>
      <c r="Q49" s="369"/>
      <c r="R49" s="371"/>
      <c r="S49" s="371"/>
      <c r="T49" s="372"/>
      <c r="U49" s="506"/>
      <c r="V49" s="371"/>
      <c r="W49" s="371"/>
      <c r="X49" s="373"/>
      <c r="Y49" s="373"/>
      <c r="Z49" s="374" t="s">
        <v>58</v>
      </c>
    </row>
    <row r="50" spans="1:26">
      <c r="A50" s="360">
        <v>45070</v>
      </c>
      <c r="B50" s="361">
        <v>0.72638888888888886</v>
      </c>
      <c r="C50" s="361" t="s">
        <v>43</v>
      </c>
      <c r="D50" s="362" t="s">
        <v>57</v>
      </c>
      <c r="E50" s="361" t="s">
        <v>24</v>
      </c>
      <c r="F50" s="535" t="s">
        <v>36</v>
      </c>
      <c r="G50" s="363">
        <v>20.312000000000001</v>
      </c>
      <c r="H50" s="363">
        <v>23.7254</v>
      </c>
      <c r="I50" s="365">
        <v>21.523599999999998</v>
      </c>
      <c r="J50" s="364">
        <v>23.6494</v>
      </c>
      <c r="K50" s="366">
        <v>24.44</v>
      </c>
      <c r="L50" s="367">
        <v>23.42</v>
      </c>
      <c r="M50" s="368">
        <v>-72.08</v>
      </c>
      <c r="N50" s="368">
        <v>98.977999999999994</v>
      </c>
      <c r="O50" s="368">
        <v>0</v>
      </c>
      <c r="P50" s="368">
        <v>8.3199999999999996E-2</v>
      </c>
      <c r="Q50" s="369">
        <v>7.9100000000000004E-2</v>
      </c>
      <c r="R50" s="371"/>
      <c r="S50" s="371">
        <v>11</v>
      </c>
      <c r="T50" s="372">
        <v>3.4585940000000002</v>
      </c>
      <c r="U50" s="506"/>
      <c r="V50" s="371"/>
      <c r="W50" s="371"/>
      <c r="X50" s="373"/>
      <c r="Y50" s="373"/>
      <c r="Z50" s="374"/>
    </row>
    <row r="51" spans="1:26">
      <c r="A51" s="360">
        <v>45070</v>
      </c>
      <c r="B51" s="361">
        <v>0.74652777777777779</v>
      </c>
      <c r="C51" s="361" t="s">
        <v>43</v>
      </c>
      <c r="D51" s="362" t="s">
        <v>57</v>
      </c>
      <c r="E51" s="361"/>
      <c r="F51" s="535" t="s">
        <v>35</v>
      </c>
      <c r="G51" s="363">
        <v>20.312000000000001</v>
      </c>
      <c r="H51" s="363">
        <v>23.7254</v>
      </c>
      <c r="I51" s="365">
        <v>21.523599999999998</v>
      </c>
      <c r="J51" s="364">
        <v>23.6494</v>
      </c>
      <c r="K51" s="366">
        <v>24.44</v>
      </c>
      <c r="L51" s="367">
        <v>23.42</v>
      </c>
      <c r="M51" s="368">
        <v>-60.332999999999998</v>
      </c>
      <c r="N51" s="368">
        <v>108.12</v>
      </c>
      <c r="O51" s="368">
        <v>-2E-3</v>
      </c>
      <c r="P51" s="368">
        <v>8.3099999999999993E-2</v>
      </c>
      <c r="Q51" s="369">
        <v>7.9100000000000004E-2</v>
      </c>
      <c r="R51" s="370">
        <v>1128</v>
      </c>
      <c r="S51" s="371"/>
      <c r="T51" s="372"/>
      <c r="U51" s="506">
        <v>175412</v>
      </c>
      <c r="V51" s="371"/>
      <c r="W51" s="371"/>
      <c r="X51" s="391">
        <v>811.92399999999998</v>
      </c>
      <c r="Y51" s="391">
        <v>595.721</v>
      </c>
      <c r="Z51" s="374"/>
    </row>
    <row r="52" spans="1:26">
      <c r="A52" s="360">
        <v>45070</v>
      </c>
      <c r="B52" s="361">
        <v>0.7416666666666667</v>
      </c>
      <c r="C52" s="361" t="s">
        <v>43</v>
      </c>
      <c r="D52" s="362" t="s">
        <v>57</v>
      </c>
      <c r="E52" s="361"/>
      <c r="F52" s="535" t="s">
        <v>59</v>
      </c>
      <c r="G52" s="363">
        <v>20.312000000000001</v>
      </c>
      <c r="H52" s="363">
        <v>23.7254</v>
      </c>
      <c r="I52" s="365">
        <v>21.523599999999998</v>
      </c>
      <c r="J52" s="364">
        <v>23.6494</v>
      </c>
      <c r="K52" s="366">
        <v>24.44</v>
      </c>
      <c r="L52" s="367">
        <v>23.42</v>
      </c>
      <c r="M52" s="368">
        <v>-83.677000000000007</v>
      </c>
      <c r="N52" s="368">
        <v>149.38499999999999</v>
      </c>
      <c r="O52" s="368">
        <v>1E-3</v>
      </c>
      <c r="P52" s="368">
        <v>8.3000000000000004E-2</v>
      </c>
      <c r="Q52" s="369">
        <v>7.8700000000000006E-2</v>
      </c>
      <c r="R52" s="370">
        <v>1128</v>
      </c>
      <c r="S52" s="371"/>
      <c r="T52" s="372"/>
      <c r="U52" s="506">
        <v>174619</v>
      </c>
      <c r="V52" s="371"/>
      <c r="W52" s="371"/>
      <c r="X52" s="391">
        <v>795.779</v>
      </c>
      <c r="Y52" s="391">
        <v>581.58399999999995</v>
      </c>
      <c r="Z52" s="374"/>
    </row>
    <row r="53" spans="1:26">
      <c r="A53" s="360">
        <v>45070</v>
      </c>
      <c r="B53" s="361">
        <v>0.75069444444444444</v>
      </c>
      <c r="C53" s="361" t="s">
        <v>43</v>
      </c>
      <c r="D53" s="362" t="s">
        <v>57</v>
      </c>
      <c r="E53" s="361" t="s">
        <v>24</v>
      </c>
      <c r="F53" s="535" t="s">
        <v>35</v>
      </c>
      <c r="G53" s="363">
        <v>20.312000000000001</v>
      </c>
      <c r="H53" s="363">
        <v>23.7254</v>
      </c>
      <c r="I53" s="365">
        <v>21.523599999999998</v>
      </c>
      <c r="J53" s="364">
        <v>23.6494</v>
      </c>
      <c r="K53" s="366">
        <v>24.44</v>
      </c>
      <c r="L53" s="367">
        <v>23.42</v>
      </c>
      <c r="M53" s="368">
        <v>-60.261000000000003</v>
      </c>
      <c r="N53" s="368">
        <v>108.07</v>
      </c>
      <c r="O53" s="368">
        <v>-2E-3</v>
      </c>
      <c r="P53" s="368">
        <v>8.3099999999999993E-2</v>
      </c>
      <c r="Q53" s="369">
        <v>7.9100000000000004E-2</v>
      </c>
      <c r="R53" s="370">
        <v>1128</v>
      </c>
      <c r="S53" s="371"/>
      <c r="T53" s="372"/>
      <c r="U53" s="506">
        <v>175942</v>
      </c>
      <c r="V53" s="371"/>
      <c r="W53" s="371"/>
      <c r="X53" s="391">
        <v>814.625</v>
      </c>
      <c r="Y53" s="391">
        <v>595.71199999999999</v>
      </c>
      <c r="Z53" s="374"/>
    </row>
    <row r="54" spans="1:26">
      <c r="A54" s="360">
        <v>45070</v>
      </c>
      <c r="B54" s="361">
        <v>0.75555555555555554</v>
      </c>
      <c r="C54" s="361" t="s">
        <v>43</v>
      </c>
      <c r="D54" s="362" t="s">
        <v>57</v>
      </c>
      <c r="E54" s="361" t="s">
        <v>24</v>
      </c>
      <c r="F54" s="535" t="s">
        <v>34</v>
      </c>
      <c r="G54" s="363">
        <v>20.312000000000001</v>
      </c>
      <c r="H54" s="363">
        <v>23.7254</v>
      </c>
      <c r="I54" s="365">
        <v>21.523599999999998</v>
      </c>
      <c r="J54" s="364">
        <v>23.6494</v>
      </c>
      <c r="K54" s="366">
        <v>24.44</v>
      </c>
      <c r="L54" s="367">
        <v>23.42</v>
      </c>
      <c r="M54" s="368">
        <v>-76.116</v>
      </c>
      <c r="N54" s="368">
        <v>125.702</v>
      </c>
      <c r="O54" s="368">
        <v>-1E-3</v>
      </c>
      <c r="P54" s="368">
        <v>8.3000000000000004E-2</v>
      </c>
      <c r="Q54" s="369">
        <v>7.8899999999999998E-2</v>
      </c>
      <c r="R54" s="371" t="s">
        <v>60</v>
      </c>
      <c r="S54" s="371">
        <v>28</v>
      </c>
      <c r="T54" s="372">
        <v>3.4721950000000001</v>
      </c>
      <c r="U54" s="506">
        <v>180546</v>
      </c>
      <c r="V54" s="371">
        <v>-1.0500000000000001E-2</v>
      </c>
      <c r="W54" s="371">
        <v>1.1900000000000001E-2</v>
      </c>
      <c r="X54" s="391"/>
      <c r="Y54" s="391"/>
      <c r="Z54" s="374"/>
    </row>
    <row r="55" spans="1:26">
      <c r="A55" s="360">
        <v>45070</v>
      </c>
      <c r="B55" s="361">
        <v>0.75347222222222221</v>
      </c>
      <c r="C55" s="361" t="s">
        <v>43</v>
      </c>
      <c r="D55" s="362" t="s">
        <v>57</v>
      </c>
      <c r="E55" s="361" t="s">
        <v>24</v>
      </c>
      <c r="F55" s="535" t="s">
        <v>33</v>
      </c>
      <c r="G55" s="363">
        <v>20.312000000000001</v>
      </c>
      <c r="H55" s="363">
        <v>23.7254</v>
      </c>
      <c r="I55" s="365">
        <v>21.523599999999998</v>
      </c>
      <c r="J55" s="364">
        <v>23.6494</v>
      </c>
      <c r="K55" s="366">
        <v>24.44</v>
      </c>
      <c r="L55" s="367">
        <v>23.42</v>
      </c>
      <c r="M55" s="368">
        <v>105.895</v>
      </c>
      <c r="N55" s="368">
        <v>99.042000000000002</v>
      </c>
      <c r="O55" s="368">
        <v>0</v>
      </c>
      <c r="P55" s="368">
        <v>0.10539999999999999</v>
      </c>
      <c r="Q55" s="369">
        <v>8.7499999999999994E-2</v>
      </c>
      <c r="R55" s="432"/>
      <c r="S55" s="371">
        <v>26</v>
      </c>
      <c r="T55" s="372">
        <v>3.4586269999999999</v>
      </c>
      <c r="U55" s="506"/>
      <c r="V55" s="371"/>
      <c r="W55" s="371"/>
      <c r="X55" s="391"/>
      <c r="Y55" s="391"/>
      <c r="Z55" s="374"/>
    </row>
    <row r="56" spans="1:26">
      <c r="A56" s="360">
        <v>45070</v>
      </c>
      <c r="B56" s="361">
        <v>0.75694444444444453</v>
      </c>
      <c r="C56" s="361" t="s">
        <v>43</v>
      </c>
      <c r="D56" s="362" t="s">
        <v>57</v>
      </c>
      <c r="E56" s="361" t="s">
        <v>24</v>
      </c>
      <c r="F56" s="535" t="s">
        <v>32</v>
      </c>
      <c r="G56" s="363">
        <v>20.312000000000001</v>
      </c>
      <c r="H56" s="363">
        <v>23.7254</v>
      </c>
      <c r="I56" s="365">
        <v>21.523599999999998</v>
      </c>
      <c r="J56" s="364">
        <v>23.6494</v>
      </c>
      <c r="K56" s="366">
        <v>24.44</v>
      </c>
      <c r="L56" s="367">
        <v>23.42</v>
      </c>
      <c r="M56" s="414">
        <v>88.710999999999999</v>
      </c>
      <c r="N56" s="414">
        <v>108.18</v>
      </c>
      <c r="O56" s="414">
        <v>0</v>
      </c>
      <c r="P56" s="368">
        <v>0.1056</v>
      </c>
      <c r="Q56" s="369">
        <v>8.6800000000000002E-2</v>
      </c>
      <c r="R56" s="370">
        <v>1128</v>
      </c>
      <c r="S56" s="371"/>
      <c r="T56" s="372"/>
      <c r="U56" s="506">
        <v>182153</v>
      </c>
      <c r="V56" s="371"/>
      <c r="W56" s="371"/>
      <c r="X56" s="391">
        <v>812.83600000000001</v>
      </c>
      <c r="Y56" s="391">
        <v>594.93499999999995</v>
      </c>
      <c r="Z56" s="374" t="s">
        <v>61</v>
      </c>
    </row>
    <row r="57" spans="1:26">
      <c r="A57" s="360">
        <v>45070</v>
      </c>
      <c r="B57" s="361">
        <v>0.76736111111111116</v>
      </c>
      <c r="C57" s="361" t="s">
        <v>43</v>
      </c>
      <c r="D57" s="362" t="s">
        <v>57</v>
      </c>
      <c r="E57" s="361" t="s">
        <v>24</v>
      </c>
      <c r="F57" s="535" t="s">
        <v>31</v>
      </c>
      <c r="G57" s="363">
        <v>20.312000000000001</v>
      </c>
      <c r="H57" s="363">
        <v>23.7254</v>
      </c>
      <c r="I57" s="365">
        <v>21.523599999999998</v>
      </c>
      <c r="J57" s="364">
        <v>23.6494</v>
      </c>
      <c r="K57" s="366">
        <v>24.44</v>
      </c>
      <c r="L57" s="367">
        <v>23.42</v>
      </c>
      <c r="M57" s="414">
        <v>101.51300000000001</v>
      </c>
      <c r="N57" s="414">
        <v>125.72</v>
      </c>
      <c r="O57" s="414">
        <v>0</v>
      </c>
      <c r="P57" s="368">
        <v>0.1055</v>
      </c>
      <c r="Q57" s="369">
        <v>8.6400000000000005E-2</v>
      </c>
      <c r="R57" s="370" t="s">
        <v>45</v>
      </c>
      <c r="S57" s="371">
        <v>28</v>
      </c>
      <c r="T57" s="372">
        <v>3.4722499999999998</v>
      </c>
      <c r="U57" s="506">
        <v>183020</v>
      </c>
      <c r="V57" s="371">
        <v>-9.7999999999999997E-3</v>
      </c>
      <c r="W57" s="371">
        <v>9.1000000000000004E-3</v>
      </c>
      <c r="X57" s="391"/>
      <c r="Y57" s="391"/>
      <c r="Z57" s="374"/>
    </row>
    <row r="58" spans="1:26">
      <c r="A58" s="360">
        <v>45070</v>
      </c>
      <c r="B58" s="361">
        <v>0.78611111111111109</v>
      </c>
      <c r="C58" s="361" t="s">
        <v>43</v>
      </c>
      <c r="D58" s="362" t="s">
        <v>57</v>
      </c>
      <c r="E58" s="361" t="s">
        <v>24</v>
      </c>
      <c r="F58" s="535" t="s">
        <v>28</v>
      </c>
      <c r="G58" s="363">
        <v>20.312000000000001</v>
      </c>
      <c r="H58" s="363">
        <v>23.7254</v>
      </c>
      <c r="I58" s="365">
        <v>21.523599999999998</v>
      </c>
      <c r="J58" s="364">
        <v>23.6494</v>
      </c>
      <c r="K58" s="366">
        <v>24.63</v>
      </c>
      <c r="L58" s="367">
        <v>23.18</v>
      </c>
      <c r="M58" s="414">
        <v>-2147.4839999999999</v>
      </c>
      <c r="N58" s="414">
        <v>-65</v>
      </c>
      <c r="O58" s="414">
        <v>-60.015000000000001</v>
      </c>
      <c r="P58" s="368">
        <v>-4.0000000000000002E-4</v>
      </c>
      <c r="Q58" s="369">
        <v>2E-3</v>
      </c>
      <c r="R58" s="433"/>
      <c r="S58" s="371">
        <v>6</v>
      </c>
      <c r="T58" s="372">
        <v>4.763331</v>
      </c>
      <c r="U58" s="506"/>
      <c r="V58" s="371"/>
      <c r="W58" s="371"/>
      <c r="X58" s="391"/>
      <c r="Y58" s="391"/>
      <c r="Z58" s="374"/>
    </row>
    <row r="59" spans="1:26">
      <c r="A59" s="360">
        <v>45070</v>
      </c>
      <c r="B59" s="361">
        <v>0.78888888888888886</v>
      </c>
      <c r="C59" s="361" t="s">
        <v>43</v>
      </c>
      <c r="D59" s="362" t="s">
        <v>57</v>
      </c>
      <c r="E59" s="361" t="s">
        <v>24</v>
      </c>
      <c r="F59" s="535" t="s">
        <v>27</v>
      </c>
      <c r="G59" s="363">
        <v>20.312000000000001</v>
      </c>
      <c r="H59" s="363">
        <v>23.7254</v>
      </c>
      <c r="I59" s="365">
        <v>21.523599999999998</v>
      </c>
      <c r="J59" s="364">
        <v>23.6494</v>
      </c>
      <c r="K59" s="366">
        <v>24.152999999999999</v>
      </c>
      <c r="L59" s="367">
        <v>23.754999999999999</v>
      </c>
      <c r="M59" s="414">
        <v>-2147.4839999999999</v>
      </c>
      <c r="N59" s="414">
        <v>-65</v>
      </c>
      <c r="O59" s="414">
        <v>-60.015000000000001</v>
      </c>
      <c r="P59" s="368">
        <v>-4.0000000000000002E-4</v>
      </c>
      <c r="Q59" s="369">
        <v>2E-3</v>
      </c>
      <c r="R59" s="371"/>
      <c r="S59" s="371">
        <v>11</v>
      </c>
      <c r="T59" s="372">
        <v>4.0322649999999998</v>
      </c>
      <c r="U59" s="506"/>
      <c r="V59" s="371"/>
      <c r="W59" s="371"/>
      <c r="X59" s="391"/>
      <c r="Y59" s="391"/>
      <c r="Z59" s="374"/>
    </row>
    <row r="60" spans="1:26">
      <c r="A60" s="360">
        <v>45070</v>
      </c>
      <c r="B60" s="361">
        <v>0.79166666666666663</v>
      </c>
      <c r="C60" s="361" t="s">
        <v>43</v>
      </c>
      <c r="D60" s="362" t="s">
        <v>57</v>
      </c>
      <c r="E60" s="361" t="s">
        <v>24</v>
      </c>
      <c r="F60" s="535" t="s">
        <v>26</v>
      </c>
      <c r="G60" s="363">
        <v>20.312000000000001</v>
      </c>
      <c r="H60" s="363">
        <v>23.7254</v>
      </c>
      <c r="I60" s="365">
        <v>21.523599999999998</v>
      </c>
      <c r="J60" s="364">
        <v>23.6494</v>
      </c>
      <c r="K60" s="366">
        <v>24.44</v>
      </c>
      <c r="L60" s="367">
        <v>23.42</v>
      </c>
      <c r="M60" s="414">
        <v>-2147.4839999999999</v>
      </c>
      <c r="N60" s="414">
        <v>-65</v>
      </c>
      <c r="O60" s="414">
        <v>-60.015000000000001</v>
      </c>
      <c r="P60" s="368">
        <v>-4.0000000000000002E-4</v>
      </c>
      <c r="Q60" s="369">
        <v>2E-3</v>
      </c>
      <c r="R60" s="370" t="s">
        <v>47</v>
      </c>
      <c r="S60" s="371"/>
      <c r="T60" s="372"/>
      <c r="U60" s="506">
        <v>185901</v>
      </c>
      <c r="V60" s="371"/>
      <c r="W60" s="371"/>
      <c r="X60" s="391">
        <v>813.89099999999996</v>
      </c>
      <c r="Y60" s="391">
        <v>594.71400000000006</v>
      </c>
      <c r="Z60" s="374" t="s">
        <v>62</v>
      </c>
    </row>
    <row r="61" spans="1:26" s="329" customFormat="1" ht="16.149999999999999" thickBot="1">
      <c r="A61" s="434">
        <v>45070</v>
      </c>
      <c r="B61" s="435">
        <v>0.79305555555555562</v>
      </c>
      <c r="C61" s="435" t="s">
        <v>43</v>
      </c>
      <c r="D61" s="436" t="s">
        <v>57</v>
      </c>
      <c r="E61" s="435" t="s">
        <v>24</v>
      </c>
      <c r="F61" s="541" t="s">
        <v>25</v>
      </c>
      <c r="G61" s="437">
        <v>20.312000000000001</v>
      </c>
      <c r="H61" s="437">
        <v>23.7254</v>
      </c>
      <c r="I61" s="439">
        <v>21.523599999999998</v>
      </c>
      <c r="J61" s="438">
        <v>23.6494</v>
      </c>
      <c r="K61" s="440">
        <v>24.44</v>
      </c>
      <c r="L61" s="441">
        <v>23.42</v>
      </c>
      <c r="M61" s="442">
        <v>-2147.4839999999999</v>
      </c>
      <c r="N61" s="442">
        <v>-65</v>
      </c>
      <c r="O61" s="442">
        <v>-60.015000000000001</v>
      </c>
      <c r="P61" s="423">
        <v>-4.0000000000000002E-4</v>
      </c>
      <c r="Q61" s="424">
        <v>2E-3</v>
      </c>
      <c r="R61" s="425" t="s">
        <v>60</v>
      </c>
      <c r="S61" s="425">
        <v>13</v>
      </c>
      <c r="T61" s="426">
        <v>4.0217499999999999</v>
      </c>
      <c r="U61" s="509">
        <v>190116</v>
      </c>
      <c r="V61" s="425">
        <v>-9.7999999999999997E-3</v>
      </c>
      <c r="W61" s="425">
        <v>1.0800000000000001E-2</v>
      </c>
      <c r="X61" s="443"/>
      <c r="Y61" s="443"/>
      <c r="Z61" s="428" t="s">
        <v>63</v>
      </c>
    </row>
    <row r="62" spans="1:26">
      <c r="A62" s="360">
        <v>45071</v>
      </c>
      <c r="B62" s="361">
        <v>0.38263888888888892</v>
      </c>
      <c r="C62" s="361" t="s">
        <v>43</v>
      </c>
      <c r="D62" s="362" t="s">
        <v>64</v>
      </c>
      <c r="E62" s="361"/>
      <c r="F62" s="535" t="s">
        <v>25</v>
      </c>
      <c r="G62" s="363">
        <v>20.312000000000001</v>
      </c>
      <c r="H62" s="363">
        <v>23.7254</v>
      </c>
      <c r="I62" s="365">
        <v>21.523599999999998</v>
      </c>
      <c r="J62" s="364">
        <v>23.6494</v>
      </c>
      <c r="K62" s="366">
        <v>24.44</v>
      </c>
      <c r="L62" s="367">
        <v>23.41</v>
      </c>
      <c r="M62" s="414">
        <v>-2147.4839999999999</v>
      </c>
      <c r="N62" s="414">
        <v>-65</v>
      </c>
      <c r="O62" s="414">
        <v>-60.015000000000001</v>
      </c>
      <c r="P62" s="368">
        <v>-4.0000000000000002E-4</v>
      </c>
      <c r="Q62" s="369">
        <v>2E-3</v>
      </c>
      <c r="R62" s="370" t="s">
        <v>65</v>
      </c>
      <c r="S62" s="371">
        <v>4</v>
      </c>
      <c r="T62" s="372">
        <v>4.0219800000000001</v>
      </c>
      <c r="U62" s="506">
        <v>90955</v>
      </c>
      <c r="V62" s="371">
        <v>-6.3E-3</v>
      </c>
      <c r="W62" s="371">
        <v>1.15E-2</v>
      </c>
      <c r="X62" s="373"/>
      <c r="Y62" s="373"/>
      <c r="Z62" s="374" t="s">
        <v>66</v>
      </c>
    </row>
    <row r="63" spans="1:26">
      <c r="A63" s="360">
        <v>45071</v>
      </c>
      <c r="B63" s="361">
        <v>0.39027777777777778</v>
      </c>
      <c r="C63" s="361" t="s">
        <v>43</v>
      </c>
      <c r="D63" s="362" t="s">
        <v>64</v>
      </c>
      <c r="E63" s="361"/>
      <c r="F63" s="535" t="s">
        <v>26</v>
      </c>
      <c r="G63" s="363">
        <v>20.312000000000001</v>
      </c>
      <c r="H63" s="363">
        <v>23.7254</v>
      </c>
      <c r="I63" s="365">
        <v>21.523599999999998</v>
      </c>
      <c r="J63" s="364">
        <v>23.6494</v>
      </c>
      <c r="K63" s="366">
        <v>24.44</v>
      </c>
      <c r="L63" s="367">
        <v>23.41</v>
      </c>
      <c r="M63" s="444">
        <v>-2147.4839999999999</v>
      </c>
      <c r="N63" s="444">
        <v>-65.001999999999995</v>
      </c>
      <c r="O63" s="444">
        <v>-60.01</v>
      </c>
      <c r="P63" s="445">
        <v>-1E-4</v>
      </c>
      <c r="Q63" s="446">
        <v>8.9999999999999998E-4</v>
      </c>
      <c r="R63" s="370" t="s">
        <v>67</v>
      </c>
      <c r="S63" s="371"/>
      <c r="T63" s="372"/>
      <c r="U63" s="506">
        <v>92211</v>
      </c>
      <c r="V63" s="371"/>
      <c r="W63" s="371"/>
      <c r="X63" s="391">
        <v>811.79899999999998</v>
      </c>
      <c r="Y63" s="391">
        <v>588.529</v>
      </c>
      <c r="Z63" s="374" t="s">
        <v>66</v>
      </c>
    </row>
    <row r="64" spans="1:26">
      <c r="A64" s="360">
        <v>45071</v>
      </c>
      <c r="B64" s="361">
        <v>0.43333333333333335</v>
      </c>
      <c r="C64" s="361" t="s">
        <v>43</v>
      </c>
      <c r="D64" s="362" t="s">
        <v>64</v>
      </c>
      <c r="E64" s="361"/>
      <c r="F64" s="535" t="s">
        <v>25</v>
      </c>
      <c r="G64" s="363">
        <v>20.312000000000001</v>
      </c>
      <c r="H64" s="363">
        <v>23.7254</v>
      </c>
      <c r="I64" s="365">
        <v>21.523599999999998</v>
      </c>
      <c r="J64" s="364">
        <v>23.6494</v>
      </c>
      <c r="K64" s="366">
        <v>24.44</v>
      </c>
      <c r="L64" s="367">
        <v>23.41</v>
      </c>
      <c r="M64" s="444">
        <v>-2147.4839999999999</v>
      </c>
      <c r="N64" s="444">
        <v>-65.001999999999995</v>
      </c>
      <c r="O64" s="444">
        <v>-60.01</v>
      </c>
      <c r="P64" s="445">
        <v>-1E-4</v>
      </c>
      <c r="Q64" s="446">
        <v>8.9999999999999998E-4</v>
      </c>
      <c r="R64" s="370" t="s">
        <v>68</v>
      </c>
      <c r="S64" s="371"/>
      <c r="T64" s="372"/>
      <c r="U64" s="506">
        <v>102436</v>
      </c>
      <c r="V64" s="371">
        <v>1.0699999999999999E-2</v>
      </c>
      <c r="W64" s="371">
        <v>4.8999999999999998E-3</v>
      </c>
      <c r="X64" s="391"/>
      <c r="Y64" s="391"/>
      <c r="Z64" s="374" t="s">
        <v>69</v>
      </c>
    </row>
    <row r="65" spans="1:26">
      <c r="A65" s="360">
        <v>45071</v>
      </c>
      <c r="B65" s="361">
        <v>0.42708333333333331</v>
      </c>
      <c r="C65" s="361" t="s">
        <v>43</v>
      </c>
      <c r="D65" s="362" t="s">
        <v>64</v>
      </c>
      <c r="E65" s="361"/>
      <c r="F65" s="535" t="s">
        <v>26</v>
      </c>
      <c r="G65" s="366">
        <v>20.242799999999999</v>
      </c>
      <c r="H65" s="366">
        <v>23.757000000000001</v>
      </c>
      <c r="I65" s="447">
        <v>21.568000000000001</v>
      </c>
      <c r="J65" s="367">
        <v>23.593</v>
      </c>
      <c r="K65" s="366">
        <v>24.431999999999999</v>
      </c>
      <c r="L65" s="367">
        <v>23.417999999999999</v>
      </c>
      <c r="M65" s="414">
        <v>-2147.4839999999999</v>
      </c>
      <c r="N65" s="414">
        <v>-65.001999999999995</v>
      </c>
      <c r="O65" s="414">
        <v>-60.01</v>
      </c>
      <c r="P65" s="368">
        <v>-1E-4</v>
      </c>
      <c r="Q65" s="369">
        <v>8.9999999999999998E-4</v>
      </c>
      <c r="R65" s="370" t="s">
        <v>67</v>
      </c>
      <c r="S65" s="371"/>
      <c r="T65" s="372"/>
      <c r="U65" s="506"/>
      <c r="V65" s="371"/>
      <c r="W65" s="371"/>
      <c r="X65" s="391">
        <v>807.59799999999996</v>
      </c>
      <c r="Y65" s="391">
        <v>601.83900000000006</v>
      </c>
      <c r="Z65" s="374" t="s">
        <v>69</v>
      </c>
    </row>
    <row r="66" spans="1:26" s="345" customFormat="1">
      <c r="A66" s="448">
        <v>45071</v>
      </c>
      <c r="B66" s="406">
        <v>0.44375000000000003</v>
      </c>
      <c r="C66" s="361" t="s">
        <v>43</v>
      </c>
      <c r="D66" s="362" t="s">
        <v>64</v>
      </c>
      <c r="E66" s="449"/>
      <c r="F66" s="535" t="s">
        <v>25</v>
      </c>
      <c r="G66" s="366">
        <v>20.242799999999999</v>
      </c>
      <c r="H66" s="366">
        <v>23.757000000000001</v>
      </c>
      <c r="I66" s="447">
        <v>21.568000000000001</v>
      </c>
      <c r="J66" s="367">
        <v>23.593</v>
      </c>
      <c r="K66" s="366">
        <v>24.431999999999999</v>
      </c>
      <c r="L66" s="367">
        <v>23.417999999999999</v>
      </c>
      <c r="M66" s="414">
        <v>-2147.4839999999999</v>
      </c>
      <c r="N66" s="414">
        <v>-65.001999999999995</v>
      </c>
      <c r="O66" s="414">
        <v>-60.01</v>
      </c>
      <c r="P66" s="368">
        <v>-1E-4</v>
      </c>
      <c r="Q66" s="369">
        <v>8.9999999999999998E-4</v>
      </c>
      <c r="R66" s="370" t="s">
        <v>70</v>
      </c>
      <c r="S66" s="371">
        <v>18</v>
      </c>
      <c r="T66" s="372">
        <v>4.0219550000000002</v>
      </c>
      <c r="U66" s="506">
        <v>103750</v>
      </c>
      <c r="V66" s="371">
        <v>3.0999999999999999E-3</v>
      </c>
      <c r="W66" s="371">
        <v>3.8999999999999998E-3</v>
      </c>
      <c r="X66" s="391"/>
      <c r="Y66" s="391"/>
      <c r="Z66" s="374" t="s">
        <v>71</v>
      </c>
    </row>
    <row r="67" spans="1:26" s="345" customFormat="1">
      <c r="A67" s="360">
        <v>45071</v>
      </c>
      <c r="B67" s="361">
        <v>0.43958333333333338</v>
      </c>
      <c r="C67" s="361" t="s">
        <v>43</v>
      </c>
      <c r="D67" s="362" t="s">
        <v>64</v>
      </c>
      <c r="E67" s="361"/>
      <c r="F67" s="535" t="s">
        <v>26</v>
      </c>
      <c r="G67" s="366">
        <v>20.239999999999998</v>
      </c>
      <c r="H67" s="366">
        <v>23.756499999999999</v>
      </c>
      <c r="I67" s="447">
        <v>21.567499999999999</v>
      </c>
      <c r="J67" s="367">
        <v>23.592700000000001</v>
      </c>
      <c r="K67" s="366">
        <v>24.431999999999999</v>
      </c>
      <c r="L67" s="367">
        <v>23.417999999999999</v>
      </c>
      <c r="M67" s="414">
        <v>-2147.4839999999999</v>
      </c>
      <c r="N67" s="414">
        <v>-65.001999999999995</v>
      </c>
      <c r="O67" s="414">
        <v>-60.01</v>
      </c>
      <c r="P67" s="368">
        <v>-1E-4</v>
      </c>
      <c r="Q67" s="369">
        <v>8.9999999999999998E-4</v>
      </c>
      <c r="R67" s="370" t="s">
        <v>72</v>
      </c>
      <c r="S67" s="371"/>
      <c r="T67" s="372"/>
      <c r="U67" s="506">
        <v>103325</v>
      </c>
      <c r="V67" s="371"/>
      <c r="W67" s="371"/>
      <c r="X67" s="391">
        <v>807.86</v>
      </c>
      <c r="Y67" s="391">
        <v>601.83900000000006</v>
      </c>
      <c r="Z67" s="374" t="s">
        <v>71</v>
      </c>
    </row>
    <row r="68" spans="1:26">
      <c r="A68" s="360">
        <v>45071</v>
      </c>
      <c r="B68" s="361">
        <v>0.45902777777777781</v>
      </c>
      <c r="C68" s="361" t="s">
        <v>43</v>
      </c>
      <c r="D68" s="362" t="s">
        <v>64</v>
      </c>
      <c r="E68" s="361"/>
      <c r="F68" s="535" t="s">
        <v>25</v>
      </c>
      <c r="G68" s="366">
        <v>20.242799999999999</v>
      </c>
      <c r="H68" s="366">
        <v>23.757000000000001</v>
      </c>
      <c r="I68" s="447">
        <v>21.568000000000001</v>
      </c>
      <c r="J68" s="367">
        <v>23.593</v>
      </c>
      <c r="K68" s="366">
        <v>24.431999999999999</v>
      </c>
      <c r="L68" s="367">
        <v>23.417999999999999</v>
      </c>
      <c r="M68" s="414">
        <v>-2147.4839999999999</v>
      </c>
      <c r="N68" s="414">
        <v>-65.001999999999995</v>
      </c>
      <c r="O68" s="414">
        <v>-60.01</v>
      </c>
      <c r="P68" s="368">
        <v>-1E-4</v>
      </c>
      <c r="Q68" s="369">
        <v>8.9999999999999998E-4</v>
      </c>
      <c r="R68" s="370" t="s">
        <v>70</v>
      </c>
      <c r="S68" s="371">
        <v>10</v>
      </c>
      <c r="T68" s="372">
        <v>4.021935</v>
      </c>
      <c r="U68" s="506">
        <v>110054</v>
      </c>
      <c r="V68" s="371">
        <v>5.9999999999999995E-4</v>
      </c>
      <c r="W68" s="371">
        <v>4.1999999999999997E-3</v>
      </c>
      <c r="X68" s="391"/>
      <c r="Y68" s="391"/>
      <c r="Z68" s="374" t="s">
        <v>73</v>
      </c>
    </row>
    <row r="69" spans="1:26">
      <c r="A69" s="360">
        <v>45071</v>
      </c>
      <c r="B69" s="361">
        <v>0.47500000000000003</v>
      </c>
      <c r="C69" s="361" t="s">
        <v>43</v>
      </c>
      <c r="D69" s="362" t="s">
        <v>64</v>
      </c>
      <c r="E69" s="361"/>
      <c r="F69" s="535" t="s">
        <v>26</v>
      </c>
      <c r="G69" s="366">
        <v>20.239999999999998</v>
      </c>
      <c r="H69" s="366">
        <v>23.756499999999999</v>
      </c>
      <c r="I69" s="447">
        <v>21.567499999999999</v>
      </c>
      <c r="J69" s="367">
        <v>23.592700000000001</v>
      </c>
      <c r="K69" s="366">
        <v>24.431999999999999</v>
      </c>
      <c r="L69" s="367">
        <v>23.417999999999999</v>
      </c>
      <c r="M69" s="414">
        <v>-2147.4839999999999</v>
      </c>
      <c r="N69" s="414">
        <v>-65.001999999999995</v>
      </c>
      <c r="O69" s="414">
        <v>-60.01</v>
      </c>
      <c r="P69" s="368">
        <v>-1E-4</v>
      </c>
      <c r="Q69" s="369">
        <v>8.9999999999999998E-4</v>
      </c>
      <c r="R69" s="370" t="s">
        <v>72</v>
      </c>
      <c r="S69" s="371"/>
      <c r="T69" s="372"/>
      <c r="U69" s="506">
        <v>112148</v>
      </c>
      <c r="V69" s="371"/>
      <c r="W69" s="371"/>
      <c r="X69" s="391">
        <v>809.01700000000005</v>
      </c>
      <c r="Y69" s="391">
        <v>599.67999999999995</v>
      </c>
      <c r="Z69" s="374" t="s">
        <v>74</v>
      </c>
    </row>
    <row r="70" spans="1:26">
      <c r="A70" s="360">
        <v>45071</v>
      </c>
      <c r="B70" s="361">
        <v>0.49444444444444446</v>
      </c>
      <c r="C70" s="361" t="s">
        <v>43</v>
      </c>
      <c r="D70" s="362" t="s">
        <v>64</v>
      </c>
      <c r="E70" s="361"/>
      <c r="F70" s="535" t="s">
        <v>25</v>
      </c>
      <c r="G70" s="366">
        <v>20.242799999999999</v>
      </c>
      <c r="H70" s="366">
        <v>23.757000000000001</v>
      </c>
      <c r="I70" s="447">
        <v>21.568000000000001</v>
      </c>
      <c r="J70" s="367">
        <v>23.593</v>
      </c>
      <c r="K70" s="366">
        <v>24.431999999999999</v>
      </c>
      <c r="L70" s="367">
        <v>23.417999999999999</v>
      </c>
      <c r="M70" s="414">
        <v>-2147.4839999999999</v>
      </c>
      <c r="N70" s="414">
        <v>-65.001999999999995</v>
      </c>
      <c r="O70" s="414">
        <v>-60.01</v>
      </c>
      <c r="P70" s="368">
        <v>-1E-4</v>
      </c>
      <c r="Q70" s="369">
        <v>8.9999999999999998E-4</v>
      </c>
      <c r="R70" s="370" t="s">
        <v>60</v>
      </c>
      <c r="S70" s="371">
        <v>16</v>
      </c>
      <c r="T70" s="372">
        <v>4.0219769999999997</v>
      </c>
      <c r="U70" s="506">
        <v>115202</v>
      </c>
      <c r="V70" s="371">
        <v>-1E-4</v>
      </c>
      <c r="W70" s="371">
        <v>7.0000000000000001E-3</v>
      </c>
      <c r="X70" s="391"/>
      <c r="Y70" s="391"/>
      <c r="Z70" s="374" t="s">
        <v>73</v>
      </c>
    </row>
    <row r="71" spans="1:26">
      <c r="A71" s="360">
        <v>45071</v>
      </c>
      <c r="B71" s="361">
        <v>0.49236111111111108</v>
      </c>
      <c r="C71" s="361" t="s">
        <v>43</v>
      </c>
      <c r="D71" s="362" t="s">
        <v>64</v>
      </c>
      <c r="E71" s="361"/>
      <c r="F71" s="535" t="s">
        <v>26</v>
      </c>
      <c r="G71" s="366">
        <v>20.239999999999998</v>
      </c>
      <c r="H71" s="366">
        <v>23.756499999999999</v>
      </c>
      <c r="I71" s="447">
        <v>21.567499999999999</v>
      </c>
      <c r="J71" s="367">
        <v>23.592700000000001</v>
      </c>
      <c r="K71" s="366">
        <v>24.431999999999999</v>
      </c>
      <c r="L71" s="367">
        <v>23.417999999999999</v>
      </c>
      <c r="M71" s="414">
        <v>-2147.4839999999999</v>
      </c>
      <c r="N71" s="414">
        <v>-65.001999999999995</v>
      </c>
      <c r="O71" s="414">
        <v>-60.01</v>
      </c>
      <c r="P71" s="368">
        <v>-1E-4</v>
      </c>
      <c r="Q71" s="369">
        <v>8.9999999999999998E-4</v>
      </c>
      <c r="R71" s="370" t="s">
        <v>72</v>
      </c>
      <c r="S71" s="371"/>
      <c r="T71" s="372"/>
      <c r="U71" s="506">
        <v>114910</v>
      </c>
      <c r="V71" s="371"/>
      <c r="W71" s="371"/>
      <c r="X71" s="391">
        <v>811.8</v>
      </c>
      <c r="Y71" s="391">
        <v>598.70000000000005</v>
      </c>
      <c r="Z71" s="374"/>
    </row>
    <row r="72" spans="1:26">
      <c r="A72" s="360">
        <v>45071</v>
      </c>
      <c r="B72" s="361">
        <v>0.5083333333333333</v>
      </c>
      <c r="C72" s="361" t="s">
        <v>43</v>
      </c>
      <c r="D72" s="362" t="s">
        <v>64</v>
      </c>
      <c r="E72" s="361"/>
      <c r="F72" s="535" t="s">
        <v>25</v>
      </c>
      <c r="G72" s="366">
        <v>20.242799999999999</v>
      </c>
      <c r="H72" s="366">
        <v>23.757000000000001</v>
      </c>
      <c r="I72" s="447">
        <v>21.568000000000001</v>
      </c>
      <c r="J72" s="367">
        <v>23.593</v>
      </c>
      <c r="K72" s="366">
        <v>24.431999999999999</v>
      </c>
      <c r="L72" s="367">
        <v>23.417999999999999</v>
      </c>
      <c r="M72" s="414">
        <v>-2147.4839999999999</v>
      </c>
      <c r="N72" s="414">
        <v>-65.001999999999995</v>
      </c>
      <c r="O72" s="414">
        <v>-60.01</v>
      </c>
      <c r="P72" s="368">
        <v>-1E-4</v>
      </c>
      <c r="Q72" s="369">
        <v>8.9999999999999998E-4</v>
      </c>
      <c r="R72" s="370" t="s">
        <v>60</v>
      </c>
      <c r="S72" s="371"/>
      <c r="T72" s="372"/>
      <c r="U72" s="506">
        <v>121252</v>
      </c>
      <c r="V72" s="371">
        <v>-1E-4</v>
      </c>
      <c r="W72" s="371">
        <v>7.7000000000000002E-3</v>
      </c>
      <c r="X72" s="391"/>
      <c r="Y72" s="391"/>
      <c r="Z72" s="374" t="s">
        <v>73</v>
      </c>
    </row>
    <row r="73" spans="1:26">
      <c r="A73" s="360">
        <v>45071</v>
      </c>
      <c r="B73" s="361">
        <v>0.51111111111111118</v>
      </c>
      <c r="C73" s="361" t="s">
        <v>43</v>
      </c>
      <c r="D73" s="362" t="s">
        <v>64</v>
      </c>
      <c r="E73" s="361"/>
      <c r="F73" s="535" t="s">
        <v>26</v>
      </c>
      <c r="G73" s="366">
        <v>20.239999999999998</v>
      </c>
      <c r="H73" s="366">
        <v>23.756499999999999</v>
      </c>
      <c r="I73" s="447">
        <v>21.567499999999999</v>
      </c>
      <c r="J73" s="367">
        <v>23.592700000000001</v>
      </c>
      <c r="K73" s="366">
        <v>24.431999999999999</v>
      </c>
      <c r="L73" s="367">
        <v>23.417999999999999</v>
      </c>
      <c r="M73" s="414">
        <v>-2147.4839999999999</v>
      </c>
      <c r="N73" s="414">
        <v>-65.001999999999995</v>
      </c>
      <c r="O73" s="414">
        <v>-60.01</v>
      </c>
      <c r="P73" s="368">
        <v>-1E-4</v>
      </c>
      <c r="Q73" s="369">
        <v>8.9999999999999998E-4</v>
      </c>
      <c r="R73" s="370" t="s">
        <v>72</v>
      </c>
      <c r="S73" s="371"/>
      <c r="T73" s="372"/>
      <c r="U73" s="506">
        <v>121605</v>
      </c>
      <c r="V73" s="371"/>
      <c r="W73" s="371"/>
      <c r="X73" s="391">
        <v>811.9</v>
      </c>
      <c r="Y73" s="391">
        <v>597.79999999999995</v>
      </c>
      <c r="Z73" s="374"/>
    </row>
    <row r="74" spans="1:26">
      <c r="A74" s="360">
        <v>45071</v>
      </c>
      <c r="B74" s="361">
        <v>0.52361111111111114</v>
      </c>
      <c r="C74" s="361" t="s">
        <v>43</v>
      </c>
      <c r="D74" s="362" t="s">
        <v>64</v>
      </c>
      <c r="E74" s="361"/>
      <c r="F74" s="535" t="s">
        <v>25</v>
      </c>
      <c r="G74" s="366">
        <v>20.242799999999999</v>
      </c>
      <c r="H74" s="366">
        <v>23.757000000000001</v>
      </c>
      <c r="I74" s="447">
        <v>21.568000000000001</v>
      </c>
      <c r="J74" s="367">
        <v>23.593</v>
      </c>
      <c r="K74" s="366">
        <v>24.431999999999999</v>
      </c>
      <c r="L74" s="367">
        <v>23.417999999999999</v>
      </c>
      <c r="M74" s="414">
        <v>-2147.4839999999999</v>
      </c>
      <c r="N74" s="414">
        <v>-65.001999999999995</v>
      </c>
      <c r="O74" s="414">
        <v>-60.01</v>
      </c>
      <c r="P74" s="368">
        <v>-1E-4</v>
      </c>
      <c r="Q74" s="369">
        <v>8.9999999999999998E-4</v>
      </c>
      <c r="R74" s="370" t="s">
        <v>75</v>
      </c>
      <c r="S74" s="371">
        <v>15</v>
      </c>
      <c r="T74" s="372">
        <v>4.0219649999999998</v>
      </c>
      <c r="U74" s="506">
        <v>123337</v>
      </c>
      <c r="V74" s="371">
        <v>5.9999999999999995E-4</v>
      </c>
      <c r="W74" s="371">
        <v>8.0999999999999996E-3</v>
      </c>
      <c r="X74" s="391"/>
      <c r="Y74" s="391"/>
      <c r="Z74" s="374" t="s">
        <v>73</v>
      </c>
    </row>
    <row r="75" spans="1:26">
      <c r="A75" s="360">
        <v>45071</v>
      </c>
      <c r="B75" s="361">
        <v>0.52152777777777781</v>
      </c>
      <c r="C75" s="361" t="s">
        <v>43</v>
      </c>
      <c r="D75" s="362" t="s">
        <v>64</v>
      </c>
      <c r="E75" s="361"/>
      <c r="F75" s="535" t="s">
        <v>26</v>
      </c>
      <c r="G75" s="366">
        <v>20.239999999999998</v>
      </c>
      <c r="H75" s="366">
        <v>23.756499999999999</v>
      </c>
      <c r="I75" s="447">
        <v>21.567499999999999</v>
      </c>
      <c r="J75" s="367">
        <v>23.592700000000001</v>
      </c>
      <c r="K75" s="366">
        <v>24.431999999999999</v>
      </c>
      <c r="L75" s="367">
        <v>23.417999999999999</v>
      </c>
      <c r="M75" s="414">
        <v>-2147.4839999999999</v>
      </c>
      <c r="N75" s="414">
        <v>-65.001999999999995</v>
      </c>
      <c r="O75" s="414">
        <v>-60.01</v>
      </c>
      <c r="P75" s="368">
        <v>-1E-4</v>
      </c>
      <c r="Q75" s="369">
        <v>8.9999999999999998E-4</v>
      </c>
      <c r="R75" s="370" t="s">
        <v>72</v>
      </c>
      <c r="S75" s="371"/>
      <c r="T75" s="372"/>
      <c r="U75" s="506">
        <v>123144</v>
      </c>
      <c r="V75" s="371"/>
      <c r="W75" s="371"/>
      <c r="X75" s="391">
        <v>812.6</v>
      </c>
      <c r="Y75" s="391">
        <v>598.6</v>
      </c>
      <c r="Z75" s="374"/>
    </row>
    <row r="76" spans="1:26">
      <c r="A76" s="360">
        <v>45071</v>
      </c>
      <c r="B76" s="361">
        <v>0.53402777777777777</v>
      </c>
      <c r="C76" s="361" t="s">
        <v>43</v>
      </c>
      <c r="D76" s="362" t="s">
        <v>64</v>
      </c>
      <c r="E76" s="361"/>
      <c r="F76" s="535" t="s">
        <v>25</v>
      </c>
      <c r="G76" s="366">
        <v>20.242799999999999</v>
      </c>
      <c r="H76" s="366">
        <v>23.757000000000001</v>
      </c>
      <c r="I76" s="447">
        <v>21.568000000000001</v>
      </c>
      <c r="J76" s="367">
        <v>23.593</v>
      </c>
      <c r="K76" s="366">
        <v>24.431999999999999</v>
      </c>
      <c r="L76" s="367">
        <v>23.417999999999999</v>
      </c>
      <c r="M76" s="414">
        <v>-2147.4839999999999</v>
      </c>
      <c r="N76" s="414">
        <v>-65.001999999999995</v>
      </c>
      <c r="O76" s="414">
        <v>-60.01</v>
      </c>
      <c r="P76" s="368">
        <v>-1E-4</v>
      </c>
      <c r="Q76" s="369">
        <v>8.9999999999999998E-4</v>
      </c>
      <c r="R76" s="370" t="s">
        <v>75</v>
      </c>
      <c r="S76" s="371">
        <v>14</v>
      </c>
      <c r="T76" s="372">
        <v>4.0219630000000004</v>
      </c>
      <c r="U76" s="506">
        <v>124959</v>
      </c>
      <c r="V76" s="450">
        <v>5.9999999999999995E-4</v>
      </c>
      <c r="W76" s="450">
        <v>8.3999999999999995E-3</v>
      </c>
      <c r="X76" s="391"/>
      <c r="Y76" s="391"/>
      <c r="Z76" s="374" t="s">
        <v>73</v>
      </c>
    </row>
    <row r="77" spans="1:26">
      <c r="A77" s="360">
        <v>45071</v>
      </c>
      <c r="B77" s="361">
        <v>0.53611111111111109</v>
      </c>
      <c r="C77" s="361" t="s">
        <v>43</v>
      </c>
      <c r="D77" s="362" t="s">
        <v>64</v>
      </c>
      <c r="E77" s="361"/>
      <c r="F77" s="535" t="s">
        <v>26</v>
      </c>
      <c r="G77" s="366">
        <v>20.239999999999998</v>
      </c>
      <c r="H77" s="366">
        <v>23.756499999999999</v>
      </c>
      <c r="I77" s="447">
        <v>21.567499999999999</v>
      </c>
      <c r="J77" s="367">
        <v>23.592700000000001</v>
      </c>
      <c r="K77" s="366">
        <v>24.431999999999999</v>
      </c>
      <c r="L77" s="367">
        <v>23.417999999999999</v>
      </c>
      <c r="M77" s="414">
        <v>-2147.4839999999999</v>
      </c>
      <c r="N77" s="414">
        <v>-65.001999999999995</v>
      </c>
      <c r="O77" s="414">
        <v>-60.01</v>
      </c>
      <c r="P77" s="368">
        <v>-1E-4</v>
      </c>
      <c r="Q77" s="369">
        <v>8.9999999999999998E-4</v>
      </c>
      <c r="R77" s="370" t="s">
        <v>72</v>
      </c>
      <c r="S77" s="371"/>
      <c r="T77" s="372"/>
      <c r="U77" s="506">
        <v>125216</v>
      </c>
      <c r="V77" s="371"/>
      <c r="W77" s="371"/>
      <c r="X77" s="391">
        <v>812.6</v>
      </c>
      <c r="Y77" s="391">
        <v>598.70000000000005</v>
      </c>
      <c r="Z77" s="374" t="s">
        <v>76</v>
      </c>
    </row>
    <row r="78" spans="1:26">
      <c r="A78" s="360">
        <v>45071</v>
      </c>
      <c r="B78" s="361">
        <v>0.54305555555555551</v>
      </c>
      <c r="C78" s="361" t="s">
        <v>43</v>
      </c>
      <c r="D78" s="362" t="s">
        <v>64</v>
      </c>
      <c r="E78" s="361" t="s">
        <v>24</v>
      </c>
      <c r="F78" s="535" t="s">
        <v>27</v>
      </c>
      <c r="G78" s="366">
        <v>20.239999999999998</v>
      </c>
      <c r="H78" s="366">
        <v>23.756499999999999</v>
      </c>
      <c r="I78" s="447">
        <v>21.567499999999999</v>
      </c>
      <c r="J78" s="367">
        <v>23.592700000000001</v>
      </c>
      <c r="K78" s="366">
        <f>K59+(K69-K61)</f>
        <v>24.144999999999996</v>
      </c>
      <c r="L78" s="367">
        <v>23.754999999999999</v>
      </c>
      <c r="M78" s="414">
        <v>-2147.4839999999999</v>
      </c>
      <c r="N78" s="414">
        <v>-65.001999999999995</v>
      </c>
      <c r="O78" s="414">
        <v>-60.01</v>
      </c>
      <c r="P78" s="368">
        <v>-1E-4</v>
      </c>
      <c r="Q78" s="369">
        <v>8.9999999999999998E-4</v>
      </c>
      <c r="R78" s="371"/>
      <c r="S78" s="371">
        <v>11</v>
      </c>
      <c r="T78" s="372">
        <v>4.0324780000000002</v>
      </c>
      <c r="U78" s="506"/>
      <c r="V78" s="371"/>
      <c r="W78" s="371"/>
      <c r="X78" s="451"/>
      <c r="Y78" s="451"/>
      <c r="Z78" s="374"/>
    </row>
    <row r="79" spans="1:26">
      <c r="A79" s="360">
        <v>45071</v>
      </c>
      <c r="B79" s="361">
        <v>0.54652777777777783</v>
      </c>
      <c r="C79" s="361" t="s">
        <v>43</v>
      </c>
      <c r="D79" s="362" t="s">
        <v>64</v>
      </c>
      <c r="E79" s="361"/>
      <c r="F79" s="535" t="s">
        <v>28</v>
      </c>
      <c r="G79" s="366">
        <v>20.239999999999998</v>
      </c>
      <c r="H79" s="366">
        <v>23.756499999999999</v>
      </c>
      <c r="I79" s="447">
        <v>21.567499999999999</v>
      </c>
      <c r="J79" s="367">
        <v>23.592700000000001</v>
      </c>
      <c r="K79" s="366">
        <v>24.63</v>
      </c>
      <c r="L79" s="367">
        <v>23.18</v>
      </c>
      <c r="M79" s="414">
        <v>-2147.4839999999999</v>
      </c>
      <c r="N79" s="414">
        <v>-65.001999999999995</v>
      </c>
      <c r="O79" s="414">
        <v>-60.01</v>
      </c>
      <c r="P79" s="368">
        <v>-1E-4</v>
      </c>
      <c r="Q79" s="369">
        <v>8.9999999999999998E-4</v>
      </c>
      <c r="R79" s="370"/>
      <c r="S79" s="371">
        <v>7</v>
      </c>
      <c r="T79" s="372">
        <v>4.7635509999999996</v>
      </c>
      <c r="U79" s="506"/>
      <c r="V79" s="371"/>
      <c r="W79" s="371"/>
      <c r="X79" s="373"/>
      <c r="Y79" s="373"/>
      <c r="Z79" s="374" t="s">
        <v>77</v>
      </c>
    </row>
    <row r="80" spans="1:26">
      <c r="A80" s="360">
        <v>45071</v>
      </c>
      <c r="B80" s="361">
        <v>0.57777777777777783</v>
      </c>
      <c r="C80" s="361" t="s">
        <v>43</v>
      </c>
      <c r="D80" s="362" t="s">
        <v>64</v>
      </c>
      <c r="E80" s="361" t="s">
        <v>24</v>
      </c>
      <c r="F80" s="535" t="s">
        <v>25</v>
      </c>
      <c r="G80" s="366">
        <v>20.239999999999998</v>
      </c>
      <c r="H80" s="366">
        <v>23.756499999999999</v>
      </c>
      <c r="I80" s="447">
        <v>21.567499999999999</v>
      </c>
      <c r="J80" s="367">
        <v>23.592700000000001</v>
      </c>
      <c r="K80" s="366">
        <v>24.431999999999999</v>
      </c>
      <c r="L80" s="367">
        <v>23.417999999999999</v>
      </c>
      <c r="M80" s="414">
        <v>-2147.4839999999999</v>
      </c>
      <c r="N80" s="414">
        <v>-65.001999999999995</v>
      </c>
      <c r="O80" s="414">
        <v>-60.01</v>
      </c>
      <c r="P80" s="368">
        <v>-1E-4</v>
      </c>
      <c r="Q80" s="369">
        <v>8.9999999999999998E-4</v>
      </c>
      <c r="R80" s="370" t="s">
        <v>68</v>
      </c>
      <c r="S80" s="371">
        <v>13</v>
      </c>
      <c r="T80" s="372">
        <v>4.0219860000000001</v>
      </c>
      <c r="U80" s="506">
        <v>135246</v>
      </c>
      <c r="V80" s="371">
        <v>5.9999999999999995E-4</v>
      </c>
      <c r="W80" s="371">
        <v>8.6999999999999994E-3</v>
      </c>
      <c r="X80" s="391"/>
      <c r="Y80" s="391"/>
      <c r="Z80" s="374" t="s">
        <v>78</v>
      </c>
    </row>
    <row r="81" spans="1:26">
      <c r="A81" s="360">
        <v>45071</v>
      </c>
      <c r="B81" s="361">
        <v>0.5805555555555556</v>
      </c>
      <c r="C81" s="361" t="s">
        <v>43</v>
      </c>
      <c r="D81" s="362" t="s">
        <v>64</v>
      </c>
      <c r="E81" s="361" t="s">
        <v>24</v>
      </c>
      <c r="F81" s="535" t="s">
        <v>26</v>
      </c>
      <c r="G81" s="366">
        <v>20.239999999999998</v>
      </c>
      <c r="H81" s="366">
        <v>23.756499999999999</v>
      </c>
      <c r="I81" s="447">
        <v>21.567499999999999</v>
      </c>
      <c r="J81" s="367">
        <v>23.592700000000001</v>
      </c>
      <c r="K81" s="366">
        <v>24.431999999999999</v>
      </c>
      <c r="L81" s="367">
        <v>23.417999999999999</v>
      </c>
      <c r="M81" s="414">
        <v>-2147.4839999999999</v>
      </c>
      <c r="N81" s="414">
        <v>-65.001999999999995</v>
      </c>
      <c r="O81" s="414">
        <v>-60.01</v>
      </c>
      <c r="P81" s="368">
        <v>-1E-4</v>
      </c>
      <c r="Q81" s="369">
        <v>8.9999999999999998E-4</v>
      </c>
      <c r="R81" s="370" t="s">
        <v>72</v>
      </c>
      <c r="S81" s="371"/>
      <c r="T81" s="372"/>
      <c r="U81" s="506">
        <v>135632</v>
      </c>
      <c r="V81" s="371"/>
      <c r="W81" s="371"/>
      <c r="X81" s="391">
        <v>812.8</v>
      </c>
      <c r="Y81" s="391">
        <v>598.04999999999995</v>
      </c>
      <c r="Z81" s="374"/>
    </row>
    <row r="82" spans="1:26">
      <c r="A82" s="360">
        <v>45071</v>
      </c>
      <c r="B82" s="361">
        <v>0.5805555555555556</v>
      </c>
      <c r="C82" s="361" t="s">
        <v>43</v>
      </c>
      <c r="D82" s="362" t="s">
        <v>64</v>
      </c>
      <c r="E82" s="361" t="s">
        <v>24</v>
      </c>
      <c r="F82" s="535" t="s">
        <v>28</v>
      </c>
      <c r="G82" s="366">
        <v>20.239999999999998</v>
      </c>
      <c r="H82" s="366">
        <v>23.756499999999999</v>
      </c>
      <c r="I82" s="447">
        <v>21.567499999999999</v>
      </c>
      <c r="J82" s="367">
        <v>23.592700000000001</v>
      </c>
      <c r="K82" s="366">
        <v>24.63</v>
      </c>
      <c r="L82" s="367">
        <v>23.18</v>
      </c>
      <c r="M82" s="414">
        <v>-2147.4839999999999</v>
      </c>
      <c r="N82" s="414">
        <v>-65.001999999999995</v>
      </c>
      <c r="O82" s="414">
        <v>-60.01</v>
      </c>
      <c r="P82" s="368">
        <v>-1E-4</v>
      </c>
      <c r="Q82" s="369">
        <v>8.9999999999999998E-4</v>
      </c>
      <c r="R82" s="370"/>
      <c r="S82" s="371">
        <v>8</v>
      </c>
      <c r="T82" s="372">
        <v>4.7635490000000003</v>
      </c>
      <c r="U82" s="506"/>
      <c r="V82" s="371"/>
      <c r="W82" s="371"/>
      <c r="X82" s="373"/>
      <c r="Y82" s="373"/>
      <c r="Z82" s="374"/>
    </row>
    <row r="83" spans="1:26">
      <c r="A83" s="360">
        <v>45071</v>
      </c>
      <c r="B83" s="361">
        <v>0.60347222222222219</v>
      </c>
      <c r="C83" s="361" t="s">
        <v>43</v>
      </c>
      <c r="D83" s="362" t="s">
        <v>64</v>
      </c>
      <c r="E83" s="361" t="s">
        <v>24</v>
      </c>
      <c r="F83" s="535" t="s">
        <v>31</v>
      </c>
      <c r="G83" s="366">
        <v>20.239999999999998</v>
      </c>
      <c r="H83" s="366">
        <v>23.756499999999999</v>
      </c>
      <c r="I83" s="447">
        <v>21.567499999999999</v>
      </c>
      <c r="J83" s="367">
        <v>23.592700000000001</v>
      </c>
      <c r="K83" s="366">
        <v>24.431999999999999</v>
      </c>
      <c r="L83" s="367">
        <v>23.42</v>
      </c>
      <c r="M83" s="414">
        <v>101.51300000000001</v>
      </c>
      <c r="N83" s="414">
        <v>125.721</v>
      </c>
      <c r="O83" s="414">
        <v>-2E-3</v>
      </c>
      <c r="P83" s="368">
        <v>0.1052</v>
      </c>
      <c r="Q83" s="369">
        <v>8.6400000000000005E-2</v>
      </c>
      <c r="R83" s="370" t="s">
        <v>75</v>
      </c>
      <c r="S83" s="432">
        <v>23</v>
      </c>
      <c r="T83" s="452">
        <v>3.472194</v>
      </c>
      <c r="U83" s="506">
        <v>142851</v>
      </c>
      <c r="V83" s="371">
        <v>-1E-4</v>
      </c>
      <c r="W83" s="371">
        <v>6.3E-3</v>
      </c>
      <c r="X83" s="373"/>
      <c r="Y83" s="373"/>
      <c r="Z83" s="374" t="s">
        <v>79</v>
      </c>
    </row>
    <row r="84" spans="1:26">
      <c r="A84" s="360">
        <v>45071</v>
      </c>
      <c r="B84" s="361">
        <v>0.61805555555555558</v>
      </c>
      <c r="C84" s="361" t="s">
        <v>43</v>
      </c>
      <c r="D84" s="362" t="s">
        <v>64</v>
      </c>
      <c r="E84" s="361"/>
      <c r="F84" s="535" t="s">
        <v>32</v>
      </c>
      <c r="G84" s="366">
        <v>20.239999999999998</v>
      </c>
      <c r="H84" s="366">
        <v>23.756499999999999</v>
      </c>
      <c r="I84" s="447">
        <v>21.567499999999999</v>
      </c>
      <c r="J84" s="367">
        <v>23.592700000000001</v>
      </c>
      <c r="K84" s="366">
        <v>24.431999999999999</v>
      </c>
      <c r="L84" s="367">
        <v>23.42</v>
      </c>
      <c r="M84" s="414">
        <v>88.712000000000003</v>
      </c>
      <c r="N84" s="414">
        <v>108.18</v>
      </c>
      <c r="O84" s="414">
        <v>-2E-3</v>
      </c>
      <c r="P84" s="368">
        <v>0.1056</v>
      </c>
      <c r="Q84" s="369">
        <v>8.5999999999999993E-2</v>
      </c>
      <c r="R84" s="370">
        <v>1133</v>
      </c>
      <c r="S84" s="371"/>
      <c r="T84" s="372"/>
      <c r="U84" s="506"/>
      <c r="V84" s="371"/>
      <c r="W84" s="371"/>
      <c r="X84" s="391">
        <v>813.1</v>
      </c>
      <c r="Y84" s="391">
        <v>609.6</v>
      </c>
      <c r="Z84" s="374"/>
    </row>
    <row r="85" spans="1:26">
      <c r="A85" s="360">
        <v>45071</v>
      </c>
      <c r="B85" s="361">
        <v>0.62638888888888888</v>
      </c>
      <c r="C85" s="361" t="s">
        <v>43</v>
      </c>
      <c r="D85" s="362" t="s">
        <v>64</v>
      </c>
      <c r="E85" s="361" t="s">
        <v>24</v>
      </c>
      <c r="F85" s="535" t="s">
        <v>32</v>
      </c>
      <c r="G85" s="366">
        <v>20.239999999999998</v>
      </c>
      <c r="H85" s="366">
        <v>23.756499999999999</v>
      </c>
      <c r="I85" s="447">
        <v>21.567499999999999</v>
      </c>
      <c r="J85" s="367">
        <v>23.592700000000001</v>
      </c>
      <c r="K85" s="366">
        <v>24.431999999999999</v>
      </c>
      <c r="L85" s="367">
        <v>23.42</v>
      </c>
      <c r="M85" s="414">
        <v>88.977000000000004</v>
      </c>
      <c r="N85" s="414">
        <v>108.621</v>
      </c>
      <c r="O85" s="414">
        <v>-2E-3</v>
      </c>
      <c r="P85" s="368">
        <v>0.1056</v>
      </c>
      <c r="Q85" s="369">
        <v>8.5999999999999993E-2</v>
      </c>
      <c r="R85" s="370">
        <v>1133</v>
      </c>
      <c r="S85" s="371"/>
      <c r="T85" s="372"/>
      <c r="U85" s="506">
        <v>150013</v>
      </c>
      <c r="V85" s="371"/>
      <c r="W85" s="371"/>
      <c r="X85" s="391">
        <v>812.7</v>
      </c>
      <c r="Y85" s="391">
        <v>598.79999999999995</v>
      </c>
      <c r="Z85" s="374"/>
    </row>
    <row r="86" spans="1:26">
      <c r="A86" s="360">
        <v>45071</v>
      </c>
      <c r="B86" s="361">
        <v>0.63055555555555554</v>
      </c>
      <c r="C86" s="361" t="s">
        <v>43</v>
      </c>
      <c r="D86" s="362" t="s">
        <v>64</v>
      </c>
      <c r="E86" s="361" t="s">
        <v>24</v>
      </c>
      <c r="F86" s="535" t="s">
        <v>33</v>
      </c>
      <c r="G86" s="366">
        <v>20.239999999999998</v>
      </c>
      <c r="H86" s="366">
        <v>23.756499999999999</v>
      </c>
      <c r="I86" s="447">
        <v>21.567499999999999</v>
      </c>
      <c r="J86" s="367">
        <v>23.592700000000001</v>
      </c>
      <c r="K86" s="366">
        <v>24.431999999999999</v>
      </c>
      <c r="L86" s="367">
        <v>23.42</v>
      </c>
      <c r="M86" s="368">
        <v>105.9</v>
      </c>
      <c r="N86" s="368">
        <v>99.042000000000002</v>
      </c>
      <c r="O86" s="368">
        <v>0</v>
      </c>
      <c r="P86" s="368">
        <v>0.1052</v>
      </c>
      <c r="Q86" s="369">
        <v>8.7400000000000005E-2</v>
      </c>
      <c r="R86" s="371"/>
      <c r="S86" s="371">
        <v>21</v>
      </c>
      <c r="T86" s="372">
        <v>3.4585970000000001</v>
      </c>
      <c r="U86" s="506"/>
      <c r="V86" s="371"/>
      <c r="W86" s="371"/>
      <c r="X86" s="373"/>
      <c r="Y86" s="373"/>
      <c r="Z86" s="374"/>
    </row>
    <row r="87" spans="1:26">
      <c r="A87" s="360">
        <v>45071</v>
      </c>
      <c r="B87" s="361">
        <v>0.63472222222222219</v>
      </c>
      <c r="C87" s="361" t="s">
        <v>43</v>
      </c>
      <c r="D87" s="362" t="s">
        <v>64</v>
      </c>
      <c r="E87" s="361" t="s">
        <v>24</v>
      </c>
      <c r="F87" s="535" t="s">
        <v>34</v>
      </c>
      <c r="G87" s="366">
        <v>20.239999999999998</v>
      </c>
      <c r="H87" s="366">
        <v>23.756499999999999</v>
      </c>
      <c r="I87" s="447">
        <v>21.567499999999999</v>
      </c>
      <c r="J87" s="367">
        <v>23.592700000000001</v>
      </c>
      <c r="K87" s="366">
        <v>24.431999999999999</v>
      </c>
      <c r="L87" s="367">
        <v>23.42</v>
      </c>
      <c r="M87" s="368">
        <v>-76.116</v>
      </c>
      <c r="N87" s="368">
        <v>125.702</v>
      </c>
      <c r="O87" s="368">
        <v>-1E-3</v>
      </c>
      <c r="P87" s="368">
        <v>8.3000000000000004E-2</v>
      </c>
      <c r="Q87" s="369">
        <v>7.8899999999999998E-2</v>
      </c>
      <c r="R87" s="371" t="s">
        <v>75</v>
      </c>
      <c r="S87" s="371">
        <v>22</v>
      </c>
      <c r="T87" s="372">
        <v>3.47221</v>
      </c>
      <c r="U87" s="506">
        <v>151416</v>
      </c>
      <c r="V87" s="371">
        <v>-8.0000000000000004E-4</v>
      </c>
      <c r="W87" s="371">
        <v>8.3999999999999995E-3</v>
      </c>
      <c r="X87" s="373"/>
      <c r="Y87" s="373"/>
      <c r="Z87" s="374"/>
    </row>
    <row r="88" spans="1:26">
      <c r="A88" s="360">
        <v>45071</v>
      </c>
      <c r="B88" s="361">
        <v>0.63888888888888895</v>
      </c>
      <c r="C88" s="361" t="s">
        <v>43</v>
      </c>
      <c r="D88" s="362" t="s">
        <v>64</v>
      </c>
      <c r="E88" s="361"/>
      <c r="F88" s="535" t="s">
        <v>35</v>
      </c>
      <c r="G88" s="366">
        <v>20.239999999999998</v>
      </c>
      <c r="H88" s="366">
        <v>23.756499999999999</v>
      </c>
      <c r="I88" s="447">
        <v>21.567499999999999</v>
      </c>
      <c r="J88" s="367">
        <v>23.592700000000001</v>
      </c>
      <c r="K88" s="366">
        <v>24.431999999999999</v>
      </c>
      <c r="L88" s="367">
        <v>23.42</v>
      </c>
      <c r="M88" s="368">
        <v>-60.261000000000003</v>
      </c>
      <c r="N88" s="368">
        <v>108.07</v>
      </c>
      <c r="O88" s="368">
        <v>-2E-3</v>
      </c>
      <c r="P88" s="368">
        <v>8.3099999999999993E-2</v>
      </c>
      <c r="Q88" s="369">
        <v>7.9100000000000004E-2</v>
      </c>
      <c r="R88" s="370">
        <v>1136</v>
      </c>
      <c r="S88" s="432"/>
      <c r="T88" s="452"/>
      <c r="U88" s="506">
        <v>152046</v>
      </c>
      <c r="V88" s="371"/>
      <c r="W88" s="371"/>
      <c r="X88" s="373">
        <v>815.7</v>
      </c>
      <c r="Y88" s="373">
        <v>608.6</v>
      </c>
      <c r="Z88" s="374"/>
    </row>
    <row r="89" spans="1:26">
      <c r="A89" s="360">
        <v>45071</v>
      </c>
      <c r="B89" s="361">
        <v>0.64236111111111105</v>
      </c>
      <c r="C89" s="361" t="s">
        <v>43</v>
      </c>
      <c r="D89" s="362" t="s">
        <v>64</v>
      </c>
      <c r="E89" s="361" t="s">
        <v>24</v>
      </c>
      <c r="F89" s="535" t="s">
        <v>35</v>
      </c>
      <c r="G89" s="366">
        <v>20.239999999999998</v>
      </c>
      <c r="H89" s="366">
        <v>23.756499999999999</v>
      </c>
      <c r="I89" s="447">
        <v>21.567499999999999</v>
      </c>
      <c r="J89" s="367">
        <v>23.592700000000001</v>
      </c>
      <c r="K89" s="366">
        <v>24.431999999999999</v>
      </c>
      <c r="L89" s="367">
        <v>23.42</v>
      </c>
      <c r="M89" s="368">
        <v>-60.113</v>
      </c>
      <c r="N89" s="368">
        <v>108.54300000000001</v>
      </c>
      <c r="O89" s="368">
        <v>-2E-3</v>
      </c>
      <c r="P89" s="368">
        <v>8.3099999999999993E-2</v>
      </c>
      <c r="Q89" s="369">
        <v>7.9100000000000004E-2</v>
      </c>
      <c r="R89" s="370">
        <v>1136</v>
      </c>
      <c r="S89" s="432"/>
      <c r="T89" s="452"/>
      <c r="U89" s="506">
        <v>152332</v>
      </c>
      <c r="V89" s="371"/>
      <c r="W89" s="371"/>
      <c r="X89" s="373">
        <v>812.7</v>
      </c>
      <c r="Y89" s="373">
        <v>598.70000000000005</v>
      </c>
      <c r="Z89" s="374"/>
    </row>
    <row r="90" spans="1:26" s="329" customFormat="1" ht="16.149999999999999" thickBot="1">
      <c r="A90" s="434">
        <v>45071</v>
      </c>
      <c r="B90" s="435">
        <v>0.64444444444444449</v>
      </c>
      <c r="C90" s="435" t="s">
        <v>43</v>
      </c>
      <c r="D90" s="436" t="s">
        <v>64</v>
      </c>
      <c r="E90" s="435" t="s">
        <v>24</v>
      </c>
      <c r="F90" s="541" t="s">
        <v>36</v>
      </c>
      <c r="G90" s="453">
        <v>20.239999999999998</v>
      </c>
      <c r="H90" s="453">
        <v>23.756499999999999</v>
      </c>
      <c r="I90" s="455">
        <v>21.567499999999999</v>
      </c>
      <c r="J90" s="454">
        <v>23.592700000000001</v>
      </c>
      <c r="K90" s="453">
        <v>24.431999999999999</v>
      </c>
      <c r="L90" s="454">
        <v>23.42</v>
      </c>
      <c r="M90" s="456">
        <v>-72.081999999999994</v>
      </c>
      <c r="N90" s="456">
        <v>98.977999999999994</v>
      </c>
      <c r="O90" s="456">
        <v>1E-3</v>
      </c>
      <c r="P90" s="456">
        <v>8.3000000000000004E-2</v>
      </c>
      <c r="Q90" s="457">
        <v>7.9600000000000004E-2</v>
      </c>
      <c r="R90" s="458"/>
      <c r="S90" s="459">
        <v>11</v>
      </c>
      <c r="T90" s="460">
        <v>3.4585650000000001</v>
      </c>
      <c r="U90" s="509"/>
      <c r="V90" s="425"/>
      <c r="W90" s="425"/>
      <c r="X90" s="427"/>
      <c r="Y90" s="427"/>
      <c r="Z90" s="428"/>
    </row>
    <row r="91" spans="1:26">
      <c r="A91" s="360">
        <v>45072</v>
      </c>
      <c r="B91" s="361">
        <v>0.44791666666666669</v>
      </c>
      <c r="C91" s="361" t="s">
        <v>43</v>
      </c>
      <c r="D91" s="362" t="s">
        <v>80</v>
      </c>
      <c r="E91" s="361"/>
      <c r="F91" s="535" t="s">
        <v>25</v>
      </c>
      <c r="G91" s="533">
        <v>20.2408</v>
      </c>
      <c r="H91" s="544">
        <v>23.753499999999999</v>
      </c>
      <c r="I91" s="545">
        <v>21.567499999999999</v>
      </c>
      <c r="J91" s="550">
        <v>23.592700000000001</v>
      </c>
      <c r="K91" s="366">
        <v>24.431999999999999</v>
      </c>
      <c r="L91" s="367">
        <v>23.42</v>
      </c>
      <c r="M91" s="368">
        <v>-2147.4839999999999</v>
      </c>
      <c r="N91" s="368">
        <v>-65</v>
      </c>
      <c r="O91" s="368">
        <v>-60.006999999999998</v>
      </c>
      <c r="P91" s="368">
        <v>0</v>
      </c>
      <c r="Q91" s="369">
        <v>0</v>
      </c>
      <c r="R91" s="370" t="s">
        <v>68</v>
      </c>
      <c r="S91" s="371"/>
      <c r="T91" s="372"/>
      <c r="U91" s="506">
        <v>104509</v>
      </c>
      <c r="V91" s="371">
        <v>-6.54E-2</v>
      </c>
      <c r="W91" s="371">
        <v>-0.06</v>
      </c>
      <c r="X91" s="373"/>
      <c r="Y91" s="373"/>
      <c r="Z91" s="374" t="s">
        <v>66</v>
      </c>
    </row>
    <row r="92" spans="1:26">
      <c r="A92" s="360">
        <v>45072</v>
      </c>
      <c r="B92" s="361">
        <v>0.44791666666666669</v>
      </c>
      <c r="C92" s="361" t="s">
        <v>43</v>
      </c>
      <c r="D92" s="362" t="s">
        <v>80</v>
      </c>
      <c r="E92" s="361"/>
      <c r="F92" s="535" t="s">
        <v>26</v>
      </c>
      <c r="G92" s="533">
        <v>20.2408</v>
      </c>
      <c r="H92" s="544">
        <v>23.753499999999999</v>
      </c>
      <c r="I92" s="545">
        <v>21.567499999999999</v>
      </c>
      <c r="J92" s="550">
        <v>23.592700000000001</v>
      </c>
      <c r="K92" s="366">
        <v>24.431999999999999</v>
      </c>
      <c r="L92" s="367">
        <v>23.42</v>
      </c>
      <c r="M92" s="368">
        <v>-2147.4839999999999</v>
      </c>
      <c r="N92" s="368">
        <v>-65</v>
      </c>
      <c r="O92" s="368">
        <v>-60.006999999999998</v>
      </c>
      <c r="P92" s="368">
        <v>0</v>
      </c>
      <c r="Q92" s="369">
        <v>0</v>
      </c>
      <c r="R92" s="370" t="s">
        <v>47</v>
      </c>
      <c r="S92" s="371"/>
      <c r="T92" s="372"/>
      <c r="U92" s="506">
        <v>104305</v>
      </c>
      <c r="V92" s="371"/>
      <c r="W92" s="371"/>
      <c r="X92" s="373">
        <v>807.9</v>
      </c>
      <c r="Y92" s="373">
        <v>602.6</v>
      </c>
      <c r="Z92" s="374" t="s">
        <v>66</v>
      </c>
    </row>
    <row r="93" spans="1:26">
      <c r="A93" s="360">
        <v>45072</v>
      </c>
      <c r="B93" s="361">
        <v>0.45694444444444443</v>
      </c>
      <c r="C93" s="361" t="s">
        <v>43</v>
      </c>
      <c r="D93" s="362" t="s">
        <v>80</v>
      </c>
      <c r="E93" s="361"/>
      <c r="F93" s="535" t="s">
        <v>25</v>
      </c>
      <c r="G93" s="461">
        <v>20.6158</v>
      </c>
      <c r="H93" s="461">
        <v>23.3765</v>
      </c>
      <c r="I93" s="546">
        <v>21.0305</v>
      </c>
      <c r="J93" s="462">
        <v>23.939299999999999</v>
      </c>
      <c r="K93" s="366">
        <v>24.431999999999999</v>
      </c>
      <c r="L93" s="367">
        <v>23.42</v>
      </c>
      <c r="M93" s="368">
        <v>-2147.4839999999999</v>
      </c>
      <c r="N93" s="368">
        <v>-65</v>
      </c>
      <c r="O93" s="368">
        <v>-60.006999999999998</v>
      </c>
      <c r="P93" s="368">
        <v>0</v>
      </c>
      <c r="Q93" s="369">
        <v>0</v>
      </c>
      <c r="R93" s="370" t="s">
        <v>75</v>
      </c>
      <c r="S93" s="371"/>
      <c r="T93" s="372"/>
      <c r="U93" s="506"/>
      <c r="V93" s="371">
        <v>-3.3399999999999999E-2</v>
      </c>
      <c r="W93" s="371">
        <v>-2.63E-2</v>
      </c>
      <c r="X93" s="373"/>
      <c r="Y93" s="373"/>
      <c r="Z93" s="374" t="s">
        <v>81</v>
      </c>
    </row>
    <row r="94" spans="1:26">
      <c r="A94" s="360">
        <v>45072</v>
      </c>
      <c r="B94" s="361">
        <f>IF(U94&lt;&gt;0,TIMEVALUE(LEFT(U94,2)&amp;":"&amp;MID(U94,3,2)),"")</f>
        <v>0.4548611111111111</v>
      </c>
      <c r="C94" s="361" t="s">
        <v>43</v>
      </c>
      <c r="D94" s="362" t="s">
        <v>80</v>
      </c>
      <c r="E94" s="361"/>
      <c r="F94" s="535" t="s">
        <v>26</v>
      </c>
      <c r="G94" s="461">
        <v>20.6158</v>
      </c>
      <c r="H94" s="461">
        <v>23.3765</v>
      </c>
      <c r="I94" s="546">
        <v>21.0305</v>
      </c>
      <c r="J94" s="462">
        <v>23.939299999999999</v>
      </c>
      <c r="K94" s="366">
        <v>24.431999999999999</v>
      </c>
      <c r="L94" s="367">
        <v>23.42</v>
      </c>
      <c r="M94" s="368">
        <v>-2147.4839999999999</v>
      </c>
      <c r="N94" s="368">
        <v>-65</v>
      </c>
      <c r="O94" s="368">
        <v>-60.006999999999998</v>
      </c>
      <c r="P94" s="368">
        <v>0</v>
      </c>
      <c r="Q94" s="369">
        <v>0</v>
      </c>
      <c r="R94" s="370" t="s">
        <v>82</v>
      </c>
      <c r="S94" s="371"/>
      <c r="T94" s="372"/>
      <c r="U94" s="506">
        <v>105515</v>
      </c>
      <c r="V94" s="371"/>
      <c r="W94" s="371"/>
      <c r="X94" s="373">
        <v>807.8</v>
      </c>
      <c r="Y94" s="373">
        <v>601.70000000000005</v>
      </c>
      <c r="Z94" s="374" t="s">
        <v>81</v>
      </c>
    </row>
    <row r="95" spans="1:26">
      <c r="A95" s="360">
        <v>45072</v>
      </c>
      <c r="B95" s="361">
        <f t="shared" ref="B95:B104" si="0">IF(U95&lt;&gt;0,TIMEVALUE(LEFT(U95,2)&amp;":"&amp;MID(U95,3,2)),"")</f>
        <v>0.4694444444444445</v>
      </c>
      <c r="C95" s="361" t="s">
        <v>43</v>
      </c>
      <c r="D95" s="362" t="s">
        <v>80</v>
      </c>
      <c r="E95" s="361"/>
      <c r="F95" s="535" t="s">
        <v>25</v>
      </c>
      <c r="G95" s="461">
        <v>20.811800000000002</v>
      </c>
      <c r="H95" s="461">
        <v>23.215499999999999</v>
      </c>
      <c r="I95" s="547">
        <v>20.795100000000001</v>
      </c>
      <c r="J95" s="462">
        <v>24.116299999999999</v>
      </c>
      <c r="K95" s="366">
        <v>24.431999999999999</v>
      </c>
      <c r="L95" s="367">
        <v>23.42</v>
      </c>
      <c r="M95" s="368">
        <v>-2147.4839999999999</v>
      </c>
      <c r="N95" s="368">
        <v>-65</v>
      </c>
      <c r="O95" s="368">
        <v>-60.006999999999998</v>
      </c>
      <c r="P95" s="368">
        <v>0</v>
      </c>
      <c r="Q95" s="369">
        <v>0</v>
      </c>
      <c r="R95" s="370" t="s">
        <v>75</v>
      </c>
      <c r="S95" s="371"/>
      <c r="T95" s="372"/>
      <c r="U95" s="506">
        <v>111622</v>
      </c>
      <c r="V95" s="371">
        <v>-1.8800000000000001E-2</v>
      </c>
      <c r="W95" s="371">
        <v>-9.7000000000000003E-3</v>
      </c>
      <c r="X95" s="373"/>
      <c r="Y95" s="373"/>
      <c r="Z95" s="374" t="s">
        <v>83</v>
      </c>
    </row>
    <row r="96" spans="1:26">
      <c r="A96" s="360">
        <v>45072</v>
      </c>
      <c r="B96" s="361">
        <f t="shared" si="0"/>
        <v>0.46666666666666662</v>
      </c>
      <c r="C96" s="361" t="s">
        <v>43</v>
      </c>
      <c r="D96" s="362" t="s">
        <v>80</v>
      </c>
      <c r="E96" s="361"/>
      <c r="F96" s="535" t="s">
        <v>26</v>
      </c>
      <c r="G96" s="461">
        <v>20.811800000000002</v>
      </c>
      <c r="H96" s="461">
        <v>23.215499999999999</v>
      </c>
      <c r="I96" s="547">
        <v>20.795100000000001</v>
      </c>
      <c r="J96" s="462">
        <v>24.116299999999999</v>
      </c>
      <c r="K96" s="366">
        <v>24.431999999999999</v>
      </c>
      <c r="L96" s="367">
        <v>23.42</v>
      </c>
      <c r="M96" s="368">
        <v>-2147.4839999999999</v>
      </c>
      <c r="N96" s="368">
        <v>-65</v>
      </c>
      <c r="O96" s="368">
        <v>-60.006999999999998</v>
      </c>
      <c r="P96" s="368">
        <v>0</v>
      </c>
      <c r="Q96" s="369">
        <v>0</v>
      </c>
      <c r="R96" s="370" t="s">
        <v>82</v>
      </c>
      <c r="S96" s="371"/>
      <c r="T96" s="372"/>
      <c r="U96" s="506">
        <v>111239</v>
      </c>
      <c r="V96" s="371"/>
      <c r="W96" s="371"/>
      <c r="X96" s="373">
        <v>807.7</v>
      </c>
      <c r="Y96" s="373">
        <v>601.74</v>
      </c>
      <c r="Z96" s="374"/>
    </row>
    <row r="97" spans="1:26">
      <c r="A97" s="360">
        <v>45072</v>
      </c>
      <c r="B97" s="361">
        <f t="shared" si="0"/>
        <v>0.48402777777777778</v>
      </c>
      <c r="C97" s="361" t="s">
        <v>43</v>
      </c>
      <c r="D97" s="362" t="s">
        <v>80</v>
      </c>
      <c r="E97" s="361"/>
      <c r="F97" s="535" t="s">
        <v>25</v>
      </c>
      <c r="G97" s="461">
        <v>20.9817</v>
      </c>
      <c r="H97" s="461">
        <v>23.1325</v>
      </c>
      <c r="I97" s="548">
        <v>20.668900000000001</v>
      </c>
      <c r="J97" s="551">
        <v>24.267900000000001</v>
      </c>
      <c r="K97" s="366">
        <v>24.431999999999999</v>
      </c>
      <c r="L97" s="367">
        <v>23.42</v>
      </c>
      <c r="M97" s="368">
        <v>-2147.4839999999999</v>
      </c>
      <c r="N97" s="368">
        <v>-65</v>
      </c>
      <c r="O97" s="368">
        <v>-60.006999999999998</v>
      </c>
      <c r="P97" s="368">
        <v>0</v>
      </c>
      <c r="Q97" s="369">
        <v>0</v>
      </c>
      <c r="R97" s="370" t="s">
        <v>75</v>
      </c>
      <c r="S97" s="371"/>
      <c r="T97" s="372"/>
      <c r="U97" s="506">
        <v>113729</v>
      </c>
      <c r="V97" s="411">
        <v>-4.8999999999999998E-3</v>
      </c>
      <c r="W97" s="411">
        <v>-1.2999999999999999E-3</v>
      </c>
      <c r="X97" s="412"/>
      <c r="Y97" s="412"/>
      <c r="Z97" s="374" t="s">
        <v>84</v>
      </c>
    </row>
    <row r="98" spans="1:26">
      <c r="A98" s="360">
        <v>45072</v>
      </c>
      <c r="B98" s="361">
        <f t="shared" si="0"/>
        <v>0.4826388888888889</v>
      </c>
      <c r="C98" s="361" t="s">
        <v>43</v>
      </c>
      <c r="D98" s="362" t="s">
        <v>80</v>
      </c>
      <c r="E98" s="361"/>
      <c r="F98" s="535" t="s">
        <v>26</v>
      </c>
      <c r="G98" s="461">
        <v>20.9817</v>
      </c>
      <c r="H98" s="461">
        <v>23.1325</v>
      </c>
      <c r="I98" s="546">
        <v>20.668900000000001</v>
      </c>
      <c r="J98" s="462">
        <v>24.267900000000001</v>
      </c>
      <c r="K98" s="366">
        <v>24.431999999999999</v>
      </c>
      <c r="L98" s="367">
        <v>23.42</v>
      </c>
      <c r="M98" s="368">
        <v>-2147.4839999999999</v>
      </c>
      <c r="N98" s="368">
        <v>-65</v>
      </c>
      <c r="O98" s="368">
        <v>-60.006999999999998</v>
      </c>
      <c r="P98" s="368">
        <v>0</v>
      </c>
      <c r="Q98" s="369">
        <v>0</v>
      </c>
      <c r="R98" s="370" t="s">
        <v>82</v>
      </c>
      <c r="S98" s="371"/>
      <c r="T98" s="372"/>
      <c r="U98" s="506">
        <v>113540</v>
      </c>
      <c r="V98" s="411"/>
      <c r="W98" s="411"/>
      <c r="X98" s="412">
        <v>807.7</v>
      </c>
      <c r="Y98" s="412">
        <v>601.9</v>
      </c>
      <c r="Z98" s="374"/>
    </row>
    <row r="99" spans="1:26">
      <c r="A99" s="360">
        <v>45072</v>
      </c>
      <c r="B99" s="361">
        <f t="shared" si="0"/>
        <v>0.49513888888888885</v>
      </c>
      <c r="C99" s="361" t="s">
        <v>43</v>
      </c>
      <c r="D99" s="362" t="s">
        <v>80</v>
      </c>
      <c r="E99" s="361"/>
      <c r="F99" s="535" t="s">
        <v>25</v>
      </c>
      <c r="G99" s="461">
        <v>20.9817</v>
      </c>
      <c r="H99" s="461">
        <v>23.1325</v>
      </c>
      <c r="I99" s="548">
        <v>20.668900000000001</v>
      </c>
      <c r="J99" s="551">
        <v>24.267900000000001</v>
      </c>
      <c r="K99" s="366">
        <v>24.431999999999999</v>
      </c>
      <c r="L99" s="367">
        <v>23.42</v>
      </c>
      <c r="M99" s="368">
        <v>-2147.4839999999999</v>
      </c>
      <c r="N99" s="368">
        <v>-65</v>
      </c>
      <c r="O99" s="368">
        <v>-60.006999999999998</v>
      </c>
      <c r="P99" s="368">
        <v>0</v>
      </c>
      <c r="Q99" s="369">
        <v>0</v>
      </c>
      <c r="R99" s="370" t="s">
        <v>75</v>
      </c>
      <c r="S99" s="371"/>
      <c r="T99" s="372"/>
      <c r="U99" s="506">
        <v>115331</v>
      </c>
      <c r="V99" s="371">
        <v>-4.1999999999999997E-3</v>
      </c>
      <c r="W99" s="371">
        <v>-2.7000000000000001E-3</v>
      </c>
      <c r="X99" s="373"/>
      <c r="Y99" s="373"/>
      <c r="Z99" s="374" t="s">
        <v>85</v>
      </c>
    </row>
    <row r="100" spans="1:26">
      <c r="A100" s="360">
        <v>45072</v>
      </c>
      <c r="B100" s="361">
        <f t="shared" si="0"/>
        <v>0.49652777777777773</v>
      </c>
      <c r="C100" s="361" t="s">
        <v>43</v>
      </c>
      <c r="D100" s="362" t="s">
        <v>80</v>
      </c>
      <c r="E100" s="361"/>
      <c r="F100" s="535" t="s">
        <v>26</v>
      </c>
      <c r="G100" s="461">
        <v>20.9817</v>
      </c>
      <c r="H100" s="461">
        <v>23.1325</v>
      </c>
      <c r="I100" s="546">
        <v>20.668900000000001</v>
      </c>
      <c r="J100" s="462">
        <v>24.267900000000001</v>
      </c>
      <c r="K100" s="366">
        <v>24.431999999999999</v>
      </c>
      <c r="L100" s="367">
        <v>23.42</v>
      </c>
      <c r="M100" s="368">
        <v>-2147.4839999999999</v>
      </c>
      <c r="N100" s="368">
        <v>-65</v>
      </c>
      <c r="O100" s="368">
        <v>-60.006999999999998</v>
      </c>
      <c r="P100" s="368">
        <v>0</v>
      </c>
      <c r="Q100" s="369">
        <v>0</v>
      </c>
      <c r="R100" s="370" t="s">
        <v>82</v>
      </c>
      <c r="S100" s="371"/>
      <c r="T100" s="372"/>
      <c r="U100" s="506">
        <v>115506</v>
      </c>
      <c r="V100" s="463"/>
      <c r="W100" s="463"/>
      <c r="X100" s="373">
        <v>806.1</v>
      </c>
      <c r="Y100" s="373">
        <v>601.79999999999995</v>
      </c>
      <c r="Z100" s="374" t="s">
        <v>85</v>
      </c>
    </row>
    <row r="101" spans="1:26">
      <c r="A101" s="360">
        <v>45072</v>
      </c>
      <c r="B101" s="361">
        <f t="shared" si="0"/>
        <v>0.51180555555555551</v>
      </c>
      <c r="C101" s="361" t="s">
        <v>43</v>
      </c>
      <c r="D101" s="362" t="s">
        <v>80</v>
      </c>
      <c r="E101" s="361"/>
      <c r="F101" s="535" t="s">
        <v>25</v>
      </c>
      <c r="G101" s="461">
        <v>20.9817</v>
      </c>
      <c r="H101" s="461">
        <v>23.1325</v>
      </c>
      <c r="I101" s="548">
        <v>20.668900000000001</v>
      </c>
      <c r="J101" s="551">
        <v>24.267900000000001</v>
      </c>
      <c r="K101" s="366">
        <v>24.431999999999999</v>
      </c>
      <c r="L101" s="367">
        <v>23.42</v>
      </c>
      <c r="M101" s="368">
        <v>-2147.4839999999999</v>
      </c>
      <c r="N101" s="368">
        <v>-65</v>
      </c>
      <c r="O101" s="368">
        <v>-60.006999999999998</v>
      </c>
      <c r="P101" s="368">
        <v>0</v>
      </c>
      <c r="Q101" s="369">
        <v>0</v>
      </c>
      <c r="R101" s="370" t="s">
        <v>75</v>
      </c>
      <c r="S101" s="371"/>
      <c r="T101" s="372"/>
      <c r="U101" s="506">
        <v>121708</v>
      </c>
      <c r="V101" s="371">
        <v>-4.1999999999999997E-3</v>
      </c>
      <c r="W101" s="371">
        <v>-2.7000000000000001E-3</v>
      </c>
      <c r="X101" s="463"/>
      <c r="Y101" s="463"/>
      <c r="Z101" s="374" t="s">
        <v>85</v>
      </c>
    </row>
    <row r="102" spans="1:26">
      <c r="A102" s="360">
        <v>45072</v>
      </c>
      <c r="B102" s="361">
        <f t="shared" si="0"/>
        <v>0.51041666666666663</v>
      </c>
      <c r="C102" s="361" t="s">
        <v>43</v>
      </c>
      <c r="D102" s="362" t="s">
        <v>80</v>
      </c>
      <c r="E102" s="361"/>
      <c r="F102" s="535" t="s">
        <v>26</v>
      </c>
      <c r="G102" s="461">
        <v>20.9817</v>
      </c>
      <c r="H102" s="461">
        <v>23.1325</v>
      </c>
      <c r="I102" s="546">
        <v>20.668900000000001</v>
      </c>
      <c r="J102" s="462">
        <v>24.267900000000001</v>
      </c>
      <c r="K102" s="366">
        <v>24.431999999999999</v>
      </c>
      <c r="L102" s="367">
        <v>23.42</v>
      </c>
      <c r="M102" s="368">
        <v>-2147.4839999999999</v>
      </c>
      <c r="N102" s="368">
        <v>-65</v>
      </c>
      <c r="O102" s="368">
        <v>-60.006999999999998</v>
      </c>
      <c r="P102" s="368">
        <v>0</v>
      </c>
      <c r="Q102" s="369">
        <v>0</v>
      </c>
      <c r="R102" s="370" t="s">
        <v>82</v>
      </c>
      <c r="S102" s="371"/>
      <c r="T102" s="372"/>
      <c r="U102" s="506">
        <v>121519</v>
      </c>
      <c r="V102" s="463"/>
      <c r="W102" s="463"/>
      <c r="X102" s="373">
        <v>806.75</v>
      </c>
      <c r="Y102" s="373">
        <v>601.745</v>
      </c>
      <c r="Z102" s="374" t="s">
        <v>85</v>
      </c>
    </row>
    <row r="103" spans="1:26">
      <c r="A103" s="360">
        <v>45072</v>
      </c>
      <c r="B103" s="361">
        <f t="shared" si="0"/>
        <v>0.52986111111111112</v>
      </c>
      <c r="C103" s="361" t="s">
        <v>43</v>
      </c>
      <c r="D103" s="362" t="s">
        <v>80</v>
      </c>
      <c r="E103" s="361"/>
      <c r="F103" s="535" t="s">
        <v>25</v>
      </c>
      <c r="G103" s="461">
        <v>20.9817</v>
      </c>
      <c r="H103" s="461">
        <v>23.1325</v>
      </c>
      <c r="I103" s="548">
        <v>20.668900000000001</v>
      </c>
      <c r="J103" s="551">
        <v>24.267900000000001</v>
      </c>
      <c r="K103" s="366">
        <v>24.431999999999999</v>
      </c>
      <c r="L103" s="367">
        <v>23.42</v>
      </c>
      <c r="M103" s="368">
        <v>-2147.4839999999999</v>
      </c>
      <c r="N103" s="368">
        <v>-65</v>
      </c>
      <c r="O103" s="368">
        <v>-60.006999999999998</v>
      </c>
      <c r="P103" s="368">
        <v>0</v>
      </c>
      <c r="Q103" s="369">
        <v>0</v>
      </c>
      <c r="R103" s="370" t="s">
        <v>75</v>
      </c>
      <c r="S103" s="371"/>
      <c r="T103" s="372"/>
      <c r="U103" s="506">
        <v>124316</v>
      </c>
      <c r="V103" s="371">
        <v>-3.8999999999999998E-3</v>
      </c>
      <c r="W103" s="371">
        <v>-2.7000000000000001E-3</v>
      </c>
      <c r="X103" s="463"/>
      <c r="Y103" s="463"/>
      <c r="Z103" s="374" t="s">
        <v>85</v>
      </c>
    </row>
    <row r="104" spans="1:26">
      <c r="A104" s="360">
        <v>45072</v>
      </c>
      <c r="B104" s="361">
        <f t="shared" si="0"/>
        <v>0.53194444444444444</v>
      </c>
      <c r="C104" s="361" t="s">
        <v>43</v>
      </c>
      <c r="D104" s="362" t="s">
        <v>80</v>
      </c>
      <c r="E104" s="361"/>
      <c r="F104" s="535" t="s">
        <v>26</v>
      </c>
      <c r="G104" s="461">
        <v>20.9817</v>
      </c>
      <c r="H104" s="461">
        <v>23.1325</v>
      </c>
      <c r="I104" s="546">
        <v>20.668900000000001</v>
      </c>
      <c r="J104" s="462">
        <v>24.267900000000001</v>
      </c>
      <c r="K104" s="366">
        <v>24.431999999999999</v>
      </c>
      <c r="L104" s="367">
        <v>23.42</v>
      </c>
      <c r="M104" s="368">
        <v>-2147.4839999999999</v>
      </c>
      <c r="N104" s="368">
        <v>-65</v>
      </c>
      <c r="O104" s="368">
        <v>-60.006999999999998</v>
      </c>
      <c r="P104" s="368">
        <v>0</v>
      </c>
      <c r="Q104" s="369">
        <v>0</v>
      </c>
      <c r="R104" s="370" t="s">
        <v>67</v>
      </c>
      <c r="S104" s="371"/>
      <c r="T104" s="372"/>
      <c r="U104" s="506">
        <v>124610</v>
      </c>
      <c r="V104" s="463"/>
      <c r="W104" s="463"/>
      <c r="X104" s="373">
        <v>806.8</v>
      </c>
      <c r="Y104" s="373">
        <v>602.5</v>
      </c>
      <c r="Z104" s="374" t="s">
        <v>85</v>
      </c>
    </row>
    <row r="105" spans="1:26">
      <c r="A105" s="360">
        <v>45072</v>
      </c>
      <c r="B105" s="361">
        <f t="shared" ref="B105:B119" si="1">IF(U105&lt;&gt;0,TIMEVALUE(LEFT(U105,2)&amp;":"&amp;MID(U105,3,2)),"")</f>
        <v>0.54097222222222219</v>
      </c>
      <c r="C105" s="361" t="s">
        <v>43</v>
      </c>
      <c r="D105" s="362" t="s">
        <v>80</v>
      </c>
      <c r="E105" s="361" t="s">
        <v>24</v>
      </c>
      <c r="F105" s="535" t="s">
        <v>25</v>
      </c>
      <c r="G105" s="461">
        <v>20.9817</v>
      </c>
      <c r="H105" s="461">
        <v>23.1325</v>
      </c>
      <c r="I105" s="546">
        <v>20.668900000000001</v>
      </c>
      <c r="J105" s="462">
        <v>24.267900000000001</v>
      </c>
      <c r="K105" s="366">
        <v>24.422000000000001</v>
      </c>
      <c r="L105" s="367">
        <v>23.42</v>
      </c>
      <c r="M105" s="368">
        <v>-2147.4839999999999</v>
      </c>
      <c r="N105" s="368">
        <v>-65</v>
      </c>
      <c r="O105" s="368">
        <v>-60.006999999999998</v>
      </c>
      <c r="P105" s="368">
        <v>0</v>
      </c>
      <c r="Q105" s="369">
        <v>0</v>
      </c>
      <c r="R105" s="371" t="s">
        <v>68</v>
      </c>
      <c r="S105" s="371">
        <v>6</v>
      </c>
      <c r="T105" s="372">
        <v>4.021477</v>
      </c>
      <c r="U105" s="506">
        <v>125935</v>
      </c>
      <c r="V105" s="411">
        <v>-3.5000000000000001E-3</v>
      </c>
      <c r="W105" s="411">
        <v>-2.7000000000000001E-3</v>
      </c>
      <c r="X105" s="463"/>
      <c r="Y105" s="463"/>
      <c r="Z105" s="374"/>
    </row>
    <row r="106" spans="1:26">
      <c r="A106" s="360">
        <v>45072</v>
      </c>
      <c r="B106" s="361">
        <f t="shared" si="1"/>
        <v>0.5395833333333333</v>
      </c>
      <c r="C106" s="361" t="s">
        <v>43</v>
      </c>
      <c r="D106" s="362" t="s">
        <v>80</v>
      </c>
      <c r="E106" s="361" t="s">
        <v>24</v>
      </c>
      <c r="F106" s="535" t="s">
        <v>26</v>
      </c>
      <c r="G106" s="461">
        <v>20.9817</v>
      </c>
      <c r="H106" s="461">
        <v>23.1325</v>
      </c>
      <c r="I106" s="546">
        <v>20.668900000000001</v>
      </c>
      <c r="J106" s="462">
        <v>24.267900000000001</v>
      </c>
      <c r="K106" s="366">
        <v>24.431999999999999</v>
      </c>
      <c r="L106" s="367">
        <v>23.41</v>
      </c>
      <c r="M106" s="368">
        <v>-2147.4839999999999</v>
      </c>
      <c r="N106" s="368">
        <v>-65</v>
      </c>
      <c r="O106" s="368">
        <v>-60.006999999999998</v>
      </c>
      <c r="P106" s="368">
        <v>0</v>
      </c>
      <c r="Q106" s="369">
        <v>0</v>
      </c>
      <c r="R106" s="371" t="s">
        <v>67</v>
      </c>
      <c r="S106" s="371"/>
      <c r="T106" s="372"/>
      <c r="U106" s="506">
        <v>125746</v>
      </c>
      <c r="V106" s="371"/>
      <c r="W106" s="371"/>
      <c r="X106" s="412">
        <v>806</v>
      </c>
      <c r="Y106" s="412">
        <v>601.79999999999995</v>
      </c>
      <c r="Z106" s="374"/>
    </row>
    <row r="107" spans="1:26">
      <c r="A107" s="360">
        <v>45072</v>
      </c>
      <c r="B107" s="361">
        <v>0.55138888888888882</v>
      </c>
      <c r="C107" s="361" t="s">
        <v>43</v>
      </c>
      <c r="D107" s="362" t="s">
        <v>80</v>
      </c>
      <c r="E107" s="361" t="s">
        <v>24</v>
      </c>
      <c r="F107" s="535" t="s">
        <v>27</v>
      </c>
      <c r="G107" s="461">
        <v>20.9817</v>
      </c>
      <c r="H107" s="461">
        <v>23.1325</v>
      </c>
      <c r="I107" s="546">
        <v>20.668900000000001</v>
      </c>
      <c r="J107" s="462">
        <v>24.267900000000001</v>
      </c>
      <c r="K107" s="366">
        <v>24.114999999999998</v>
      </c>
      <c r="L107" s="367">
        <v>23.72</v>
      </c>
      <c r="M107" s="368">
        <v>-2147.4839999999999</v>
      </c>
      <c r="N107" s="368">
        <v>-65</v>
      </c>
      <c r="O107" s="368">
        <v>-60.006999999999998</v>
      </c>
      <c r="P107" s="368">
        <v>0</v>
      </c>
      <c r="Q107" s="369">
        <v>0</v>
      </c>
      <c r="R107" s="371"/>
      <c r="S107" s="371">
        <v>28</v>
      </c>
      <c r="T107" s="372">
        <v>4.0320029999999996</v>
      </c>
      <c r="U107" s="506"/>
      <c r="V107" s="371"/>
      <c r="W107" s="371"/>
      <c r="X107" s="463"/>
      <c r="Y107" s="463"/>
      <c r="Z107" s="374"/>
    </row>
    <row r="108" spans="1:26">
      <c r="A108" s="360">
        <v>45072</v>
      </c>
      <c r="B108" s="361">
        <v>0.55277777777777781</v>
      </c>
      <c r="C108" s="361" t="s">
        <v>43</v>
      </c>
      <c r="D108" s="362" t="s">
        <v>80</v>
      </c>
      <c r="E108" s="361" t="s">
        <v>24</v>
      </c>
      <c r="F108" s="535" t="s">
        <v>28</v>
      </c>
      <c r="G108" s="461">
        <v>20.9817</v>
      </c>
      <c r="H108" s="461">
        <v>23.1325</v>
      </c>
      <c r="I108" s="546">
        <v>20.668900000000001</v>
      </c>
      <c r="J108" s="462">
        <v>24.267900000000001</v>
      </c>
      <c r="K108" s="366">
        <v>24.63</v>
      </c>
      <c r="L108" s="367">
        <v>23.18</v>
      </c>
      <c r="M108" s="368">
        <v>-2147.4839999999999</v>
      </c>
      <c r="N108" s="368">
        <v>-65</v>
      </c>
      <c r="O108" s="368">
        <v>-60.006999999999998</v>
      </c>
      <c r="P108" s="368">
        <v>0</v>
      </c>
      <c r="Q108" s="369">
        <v>0</v>
      </c>
      <c r="R108" s="371"/>
      <c r="S108" s="371">
        <v>13</v>
      </c>
      <c r="T108" s="372">
        <v>4.7630660000000002</v>
      </c>
      <c r="U108" s="506"/>
      <c r="V108" s="371"/>
      <c r="W108" s="371"/>
      <c r="X108" s="373"/>
      <c r="Y108" s="373"/>
      <c r="Z108" s="374"/>
    </row>
    <row r="109" spans="1:26">
      <c r="A109" s="360">
        <v>45072</v>
      </c>
      <c r="B109" s="361">
        <f t="shared" si="1"/>
        <v>0.56805555555555554</v>
      </c>
      <c r="C109" s="361" t="s">
        <v>43</v>
      </c>
      <c r="D109" s="362" t="s">
        <v>80</v>
      </c>
      <c r="E109" s="361"/>
      <c r="F109" s="535" t="s">
        <v>31</v>
      </c>
      <c r="G109" s="461">
        <v>20.9817</v>
      </c>
      <c r="H109" s="461">
        <v>23.1325</v>
      </c>
      <c r="I109" s="546">
        <v>20.668900000000001</v>
      </c>
      <c r="J109" s="462">
        <v>24.267900000000001</v>
      </c>
      <c r="K109" s="366">
        <v>24.422000000000001</v>
      </c>
      <c r="L109" s="367">
        <v>23.42</v>
      </c>
      <c r="M109" s="368">
        <v>101.5</v>
      </c>
      <c r="N109" s="368">
        <v>125.72199999999999</v>
      </c>
      <c r="O109" s="368">
        <v>-4.0000000000000001E-3</v>
      </c>
      <c r="P109" s="368">
        <v>0.1053</v>
      </c>
      <c r="Q109" s="369">
        <v>8.6400000000000005E-2</v>
      </c>
      <c r="R109" s="371" t="s">
        <v>68</v>
      </c>
      <c r="S109" s="371"/>
      <c r="T109" s="372"/>
      <c r="U109" s="506">
        <v>133805</v>
      </c>
      <c r="V109" s="371">
        <v>5.7599999999999998E-2</v>
      </c>
      <c r="W109" s="371">
        <v>6.7400000000000002E-2</v>
      </c>
      <c r="X109" s="373"/>
      <c r="Y109" s="373"/>
      <c r="Z109" s="374"/>
    </row>
    <row r="110" spans="1:26">
      <c r="A110" s="360">
        <v>45072</v>
      </c>
      <c r="B110" s="361">
        <f t="shared" si="1"/>
        <v>0.59861111111111109</v>
      </c>
      <c r="C110" s="361" t="s">
        <v>43</v>
      </c>
      <c r="D110" s="362" t="s">
        <v>80</v>
      </c>
      <c r="E110" s="361" t="s">
        <v>24</v>
      </c>
      <c r="F110" s="535" t="s">
        <v>31</v>
      </c>
      <c r="G110" s="461">
        <v>20.9817</v>
      </c>
      <c r="H110" s="461">
        <v>23.1325</v>
      </c>
      <c r="I110" s="546">
        <v>20.668900000000001</v>
      </c>
      <c r="J110" s="462">
        <v>24.267900000000001</v>
      </c>
      <c r="K110" s="366">
        <v>24.434999999999999</v>
      </c>
      <c r="L110" s="367">
        <v>23.42</v>
      </c>
      <c r="M110" s="368">
        <v>101.5</v>
      </c>
      <c r="N110" s="368">
        <v>125.72199999999999</v>
      </c>
      <c r="O110" s="368">
        <v>0</v>
      </c>
      <c r="P110" s="368">
        <v>1.72E-2</v>
      </c>
      <c r="Q110" s="369">
        <v>6.6100000000000006E-2</v>
      </c>
      <c r="R110" s="371" t="s">
        <v>68</v>
      </c>
      <c r="S110" s="371">
        <v>22</v>
      </c>
      <c r="T110" s="372">
        <v>3.4722089999999999</v>
      </c>
      <c r="U110" s="506">
        <v>142220</v>
      </c>
      <c r="V110" s="371">
        <v>-4.1999999999999997E-3</v>
      </c>
      <c r="W110" s="371">
        <v>-4.7999999999999996E-3</v>
      </c>
      <c r="X110" s="373"/>
      <c r="Y110" s="373"/>
      <c r="Z110" s="374"/>
    </row>
    <row r="111" spans="1:26">
      <c r="A111" s="360">
        <v>45072</v>
      </c>
      <c r="B111" s="361">
        <v>0.60972222222222217</v>
      </c>
      <c r="C111" s="361" t="s">
        <v>43</v>
      </c>
      <c r="D111" s="362" t="s">
        <v>80</v>
      </c>
      <c r="E111" s="361"/>
      <c r="F111" s="535" t="s">
        <v>32</v>
      </c>
      <c r="G111" s="461">
        <v>20.9817</v>
      </c>
      <c r="H111" s="461">
        <v>23.1325</v>
      </c>
      <c r="I111" s="546">
        <v>20.668900000000001</v>
      </c>
      <c r="J111" s="462">
        <v>24.267900000000001</v>
      </c>
      <c r="K111" s="366">
        <v>24.434999999999999</v>
      </c>
      <c r="L111" s="367">
        <v>23.42</v>
      </c>
      <c r="M111" s="368">
        <v>88.977000000000004</v>
      </c>
      <c r="N111" s="368">
        <v>108.622</v>
      </c>
      <c r="O111" s="368">
        <v>0</v>
      </c>
      <c r="P111" s="368">
        <v>1.72E-2</v>
      </c>
      <c r="Q111" s="369">
        <v>6.5799999999999997E-2</v>
      </c>
      <c r="R111" s="370">
        <v>1133</v>
      </c>
      <c r="S111" s="371"/>
      <c r="T111" s="372"/>
      <c r="U111" s="506"/>
      <c r="V111" s="371"/>
      <c r="W111" s="371"/>
      <c r="X111" s="373">
        <v>803.9</v>
      </c>
      <c r="Y111" s="373">
        <v>580.79999999999995</v>
      </c>
      <c r="Z111" s="374"/>
    </row>
    <row r="112" spans="1:26">
      <c r="A112" s="360">
        <v>45072</v>
      </c>
      <c r="B112" s="361">
        <f t="shared" si="1"/>
        <v>0.61458333333333337</v>
      </c>
      <c r="C112" s="361" t="s">
        <v>43</v>
      </c>
      <c r="D112" s="362" t="s">
        <v>80</v>
      </c>
      <c r="E112" s="361" t="s">
        <v>24</v>
      </c>
      <c r="F112" s="535" t="s">
        <v>32</v>
      </c>
      <c r="G112" s="461">
        <v>20.9817</v>
      </c>
      <c r="H112" s="461">
        <v>23.1325</v>
      </c>
      <c r="I112" s="546">
        <v>20.668900000000001</v>
      </c>
      <c r="J112" s="462">
        <v>24.267900000000001</v>
      </c>
      <c r="K112" s="366">
        <v>24.434999999999999</v>
      </c>
      <c r="L112" s="367">
        <v>23.42</v>
      </c>
      <c r="M112" s="368">
        <v>88.49</v>
      </c>
      <c r="N112" s="368">
        <v>107.73699999999999</v>
      </c>
      <c r="O112" s="368">
        <v>0</v>
      </c>
      <c r="P112" s="368">
        <v>1.72E-2</v>
      </c>
      <c r="Q112" s="369">
        <v>6.5799999999999997E-2</v>
      </c>
      <c r="R112" s="370">
        <v>1133</v>
      </c>
      <c r="S112" s="371"/>
      <c r="T112" s="372"/>
      <c r="U112" s="506">
        <v>144550</v>
      </c>
      <c r="V112" s="371"/>
      <c r="W112" s="371"/>
      <c r="X112" s="373">
        <v>805.7</v>
      </c>
      <c r="Y112" s="373">
        <v>601.70000000000005</v>
      </c>
      <c r="Z112" s="374"/>
    </row>
    <row r="113" spans="1:26">
      <c r="A113" s="360">
        <v>45072</v>
      </c>
      <c r="B113" s="361">
        <v>0.62013888888888891</v>
      </c>
      <c r="C113" s="361" t="s">
        <v>43</v>
      </c>
      <c r="D113" s="362" t="s">
        <v>80</v>
      </c>
      <c r="E113" s="361" t="s">
        <v>24</v>
      </c>
      <c r="F113" s="535" t="s">
        <v>33</v>
      </c>
      <c r="G113" s="461">
        <v>20.9817</v>
      </c>
      <c r="H113" s="461">
        <v>23.1325</v>
      </c>
      <c r="I113" s="546">
        <v>20.668900000000001</v>
      </c>
      <c r="J113" s="462">
        <v>24.267900000000001</v>
      </c>
      <c r="K113" s="366">
        <v>24.434999999999999</v>
      </c>
      <c r="L113" s="367">
        <v>23.42</v>
      </c>
      <c r="M113" s="368">
        <v>105.9</v>
      </c>
      <c r="N113" s="368">
        <v>99.042000000000002</v>
      </c>
      <c r="O113" s="368">
        <v>0</v>
      </c>
      <c r="P113" s="368">
        <v>1.72E-2</v>
      </c>
      <c r="Q113" s="369">
        <v>6.5799999999999997E-2</v>
      </c>
      <c r="R113" s="371"/>
      <c r="S113" s="371">
        <v>20</v>
      </c>
      <c r="T113" s="372">
        <v>3.4585729999999999</v>
      </c>
      <c r="U113" s="506"/>
      <c r="V113" s="371"/>
      <c r="W113" s="371"/>
      <c r="X113" s="373"/>
      <c r="Y113" s="373"/>
      <c r="Z113" s="374"/>
    </row>
    <row r="114" spans="1:26">
      <c r="A114" s="360">
        <v>45072</v>
      </c>
      <c r="B114" s="361">
        <f t="shared" si="1"/>
        <v>0.62777777777777777</v>
      </c>
      <c r="C114" s="361" t="s">
        <v>43</v>
      </c>
      <c r="D114" s="362" t="s">
        <v>80</v>
      </c>
      <c r="E114" s="361"/>
      <c r="F114" s="535" t="s">
        <v>34</v>
      </c>
      <c r="G114" s="461">
        <v>20.9817</v>
      </c>
      <c r="H114" s="461">
        <v>23.1325</v>
      </c>
      <c r="I114" s="546">
        <v>20.668900000000001</v>
      </c>
      <c r="J114" s="462">
        <v>24.267900000000001</v>
      </c>
      <c r="K114" s="366">
        <v>24.434999999999999</v>
      </c>
      <c r="L114" s="367">
        <v>23.42</v>
      </c>
      <c r="M114" s="368">
        <v>-76.116</v>
      </c>
      <c r="N114" s="368">
        <v>125.702</v>
      </c>
      <c r="O114" s="368">
        <v>-1E-3</v>
      </c>
      <c r="P114" s="368">
        <v>8.3000000000000004E-2</v>
      </c>
      <c r="Q114" s="369">
        <v>7.8899999999999998E-2</v>
      </c>
      <c r="R114" s="371" t="s">
        <v>68</v>
      </c>
      <c r="S114" s="371"/>
      <c r="T114" s="372"/>
      <c r="U114" s="506">
        <v>150410</v>
      </c>
      <c r="V114" s="371">
        <v>5.6500000000000002E-2</v>
      </c>
      <c r="W114" s="371">
        <v>6.7400000000000002E-2</v>
      </c>
      <c r="X114" s="373"/>
      <c r="Y114" s="373"/>
      <c r="Z114" s="374" t="s">
        <v>86</v>
      </c>
    </row>
    <row r="115" spans="1:26">
      <c r="A115" s="360">
        <v>45072</v>
      </c>
      <c r="B115" s="361">
        <f t="shared" ref="B115" si="2">IF(U115&lt;&gt;0,TIMEVALUE(LEFT(U115,2)&amp;":"&amp;MID(U115,3,2)),"")</f>
        <v>0.62847222222222221</v>
      </c>
      <c r="C115" s="361" t="s">
        <v>43</v>
      </c>
      <c r="D115" s="362" t="s">
        <v>80</v>
      </c>
      <c r="E115" s="361" t="s">
        <v>24</v>
      </c>
      <c r="F115" s="535" t="s">
        <v>34</v>
      </c>
      <c r="G115" s="461">
        <v>20.9817</v>
      </c>
      <c r="H115" s="461">
        <v>23.1325</v>
      </c>
      <c r="I115" s="546">
        <v>20.668900000000001</v>
      </c>
      <c r="J115" s="462">
        <v>24.267900000000001</v>
      </c>
      <c r="K115" s="366">
        <v>24.434999999999999</v>
      </c>
      <c r="L115" s="367">
        <v>23.42</v>
      </c>
      <c r="M115" s="368">
        <v>-76.116</v>
      </c>
      <c r="N115" s="368">
        <v>125.702</v>
      </c>
      <c r="O115" s="368">
        <v>-1E-3</v>
      </c>
      <c r="P115" s="368">
        <v>-6.1000000000000004E-3</v>
      </c>
      <c r="Q115" s="369">
        <v>5.5E-2</v>
      </c>
      <c r="R115" s="371" t="s">
        <v>68</v>
      </c>
      <c r="S115" s="371">
        <v>15</v>
      </c>
      <c r="T115" s="372">
        <v>3.4722550000000001</v>
      </c>
      <c r="U115" s="506">
        <v>150530</v>
      </c>
      <c r="V115" s="371">
        <v>-3.5000000000000001E-3</v>
      </c>
      <c r="W115" s="371">
        <v>-1E-3</v>
      </c>
      <c r="X115" s="373"/>
      <c r="Y115" s="373"/>
      <c r="Z115" s="374"/>
    </row>
    <row r="116" spans="1:26">
      <c r="A116" s="360">
        <v>45072</v>
      </c>
      <c r="B116" s="361">
        <f t="shared" si="1"/>
        <v>0.63263888888888886</v>
      </c>
      <c r="C116" s="361" t="s">
        <v>43</v>
      </c>
      <c r="D116" s="362" t="s">
        <v>80</v>
      </c>
      <c r="E116" s="361"/>
      <c r="F116" s="535" t="s">
        <v>35</v>
      </c>
      <c r="G116" s="461">
        <v>20.9817</v>
      </c>
      <c r="H116" s="461">
        <v>23.1325</v>
      </c>
      <c r="I116" s="546">
        <v>20.668900000000001</v>
      </c>
      <c r="J116" s="462">
        <v>24.267900000000001</v>
      </c>
      <c r="K116" s="366">
        <v>24.434999999999999</v>
      </c>
      <c r="L116" s="367">
        <v>23.42</v>
      </c>
      <c r="M116" s="368">
        <v>-60.261000000000003</v>
      </c>
      <c r="N116" s="368">
        <v>108.07</v>
      </c>
      <c r="O116" s="368">
        <v>-2E-3</v>
      </c>
      <c r="P116" s="368">
        <v>-6.1000000000000004E-3</v>
      </c>
      <c r="Q116" s="369">
        <v>5.5E-2</v>
      </c>
      <c r="R116" s="370">
        <v>1133</v>
      </c>
      <c r="S116" s="371"/>
      <c r="T116" s="372"/>
      <c r="U116" s="506">
        <v>151146</v>
      </c>
      <c r="V116" s="371"/>
      <c r="W116" s="371"/>
      <c r="X116" s="373">
        <v>803.8</v>
      </c>
      <c r="Y116" s="373">
        <v>580.70000000000005</v>
      </c>
      <c r="Z116" s="374"/>
    </row>
    <row r="117" spans="1:26">
      <c r="A117" s="360">
        <v>45072</v>
      </c>
      <c r="B117" s="361">
        <f>IF(U117&lt;&gt;0,TIMEVALUE(LEFT(U117,2)&amp;":"&amp;MID(U117,3,2)),"")</f>
        <v>0.63472222222222219</v>
      </c>
      <c r="C117" s="361" t="s">
        <v>43</v>
      </c>
      <c r="D117" s="362" t="s">
        <v>80</v>
      </c>
      <c r="E117" s="361" t="s">
        <v>24</v>
      </c>
      <c r="F117" s="535" t="s">
        <v>35</v>
      </c>
      <c r="G117" s="461">
        <v>20.9817</v>
      </c>
      <c r="H117" s="461">
        <v>23.1325</v>
      </c>
      <c r="I117" s="546">
        <v>20.668900000000001</v>
      </c>
      <c r="J117" s="462">
        <v>24.267900000000001</v>
      </c>
      <c r="K117" s="366">
        <v>24.434999999999999</v>
      </c>
      <c r="L117" s="367">
        <v>23.42</v>
      </c>
      <c r="M117" s="368">
        <v>-60.584000000000003</v>
      </c>
      <c r="N117" s="368">
        <v>107.65</v>
      </c>
      <c r="O117" s="368">
        <v>-2E-3</v>
      </c>
      <c r="P117" s="368">
        <v>-6.1000000000000004E-3</v>
      </c>
      <c r="Q117" s="369">
        <v>5.5E-2</v>
      </c>
      <c r="R117" s="370">
        <v>1133</v>
      </c>
      <c r="S117" s="371"/>
      <c r="T117" s="372"/>
      <c r="U117" s="506">
        <v>151446</v>
      </c>
      <c r="V117" s="371"/>
      <c r="W117" s="371"/>
      <c r="X117" s="373">
        <v>805.7</v>
      </c>
      <c r="Y117" s="373">
        <v>601.70000000000005</v>
      </c>
      <c r="Z117" s="374"/>
    </row>
    <row r="118" spans="1:26" s="329" customFormat="1" ht="16.149999999999999" thickBot="1">
      <c r="A118" s="434">
        <v>45072</v>
      </c>
      <c r="B118" s="435">
        <v>0.63888888888888895</v>
      </c>
      <c r="C118" s="435" t="s">
        <v>43</v>
      </c>
      <c r="D118" s="436" t="s">
        <v>80</v>
      </c>
      <c r="E118" s="435" t="s">
        <v>24</v>
      </c>
      <c r="F118" s="541" t="s">
        <v>36</v>
      </c>
      <c r="G118" s="464">
        <v>20.9817</v>
      </c>
      <c r="H118" s="464">
        <v>23.1325</v>
      </c>
      <c r="I118" s="549">
        <v>20.668900000000001</v>
      </c>
      <c r="J118" s="465">
        <v>24.267900000000001</v>
      </c>
      <c r="K118" s="421">
        <v>24.434999999999999</v>
      </c>
      <c r="L118" s="466">
        <v>23.42</v>
      </c>
      <c r="M118" s="423">
        <v>-72.081999999999994</v>
      </c>
      <c r="N118" s="423">
        <v>98.977999999999994</v>
      </c>
      <c r="O118" s="423">
        <v>1E-3</v>
      </c>
      <c r="P118" s="423">
        <v>8.3000000000000004E-2</v>
      </c>
      <c r="Q118" s="467">
        <v>7.9600000000000004E-2</v>
      </c>
      <c r="R118" s="425"/>
      <c r="S118" s="425">
        <v>10</v>
      </c>
      <c r="T118" s="426">
        <v>3.4586139999999999</v>
      </c>
      <c r="U118" s="509"/>
      <c r="V118" s="425"/>
      <c r="W118" s="425"/>
      <c r="X118" s="427"/>
      <c r="Y118" s="427"/>
      <c r="Z118" s="428"/>
    </row>
    <row r="119" spans="1:26">
      <c r="A119" s="360">
        <v>45072</v>
      </c>
      <c r="B119" s="361">
        <f t="shared" si="1"/>
        <v>0.65208333333333335</v>
      </c>
      <c r="C119" s="361" t="s">
        <v>43</v>
      </c>
      <c r="D119" s="362" t="s">
        <v>87</v>
      </c>
      <c r="E119" s="361" t="s">
        <v>24</v>
      </c>
      <c r="F119" s="535" t="s">
        <v>25</v>
      </c>
      <c r="G119" s="461">
        <v>20.9817</v>
      </c>
      <c r="H119" s="461">
        <v>23.1325</v>
      </c>
      <c r="I119" s="546">
        <v>20.668900000000001</v>
      </c>
      <c r="J119" s="462">
        <v>24.267900000000001</v>
      </c>
      <c r="K119" s="366">
        <v>24.434999999999999</v>
      </c>
      <c r="L119" s="468">
        <v>23.41</v>
      </c>
      <c r="M119" s="368">
        <v>-2147.4839999999999</v>
      </c>
      <c r="N119" s="368">
        <v>-65</v>
      </c>
      <c r="O119" s="368">
        <v>-60.003999999999998</v>
      </c>
      <c r="P119" s="368">
        <v>0</v>
      </c>
      <c r="Q119" s="369">
        <v>0</v>
      </c>
      <c r="R119" s="371" t="s">
        <v>68</v>
      </c>
      <c r="S119" s="371">
        <v>11</v>
      </c>
      <c r="T119" s="372">
        <v>4.0214629999999998</v>
      </c>
      <c r="U119" s="506">
        <v>153929</v>
      </c>
      <c r="V119" s="411">
        <v>-1.2200000000000001E-2</v>
      </c>
      <c r="W119" s="411">
        <v>5.5999999999999999E-3</v>
      </c>
      <c r="X119" s="373"/>
      <c r="Y119" s="373"/>
      <c r="Z119" s="374"/>
    </row>
    <row r="120" spans="1:26">
      <c r="A120" s="360">
        <v>45072</v>
      </c>
      <c r="B120" s="361">
        <v>0.65833333333333333</v>
      </c>
      <c r="C120" s="361" t="s">
        <v>43</v>
      </c>
      <c r="D120" s="362" t="s">
        <v>87</v>
      </c>
      <c r="E120" s="361" t="s">
        <v>24</v>
      </c>
      <c r="F120" s="535" t="s">
        <v>26</v>
      </c>
      <c r="G120" s="461">
        <v>20.9817</v>
      </c>
      <c r="H120" s="461">
        <v>23.1325</v>
      </c>
      <c r="I120" s="546">
        <v>20.668900000000001</v>
      </c>
      <c r="J120" s="462">
        <v>24.267900000000001</v>
      </c>
      <c r="K120" s="366">
        <v>24.434999999999999</v>
      </c>
      <c r="L120" s="468">
        <v>23.42</v>
      </c>
      <c r="M120" s="368">
        <v>-2147.4839999999999</v>
      </c>
      <c r="N120" s="368">
        <v>-65</v>
      </c>
      <c r="O120" s="368">
        <v>-60.003999999999998</v>
      </c>
      <c r="P120" s="368">
        <v>0</v>
      </c>
      <c r="Q120" s="369">
        <v>0</v>
      </c>
      <c r="R120" s="371" t="s">
        <v>67</v>
      </c>
      <c r="S120" s="371"/>
      <c r="T120" s="372"/>
      <c r="U120" s="506">
        <v>161519</v>
      </c>
      <c r="V120" s="469">
        <f>V119-V105</f>
        <v>-8.7000000000000011E-3</v>
      </c>
      <c r="W120" s="469">
        <f>W119-W105</f>
        <v>8.3000000000000001E-3</v>
      </c>
      <c r="X120" s="412">
        <v>813.7</v>
      </c>
      <c r="Y120" s="412">
        <v>595.6</v>
      </c>
      <c r="Z120" s="470" t="s">
        <v>88</v>
      </c>
    </row>
    <row r="121" spans="1:26">
      <c r="A121" s="360">
        <v>45072</v>
      </c>
      <c r="B121" s="361">
        <v>0.68055555555555547</v>
      </c>
      <c r="C121" s="361" t="s">
        <v>43</v>
      </c>
      <c r="D121" s="362" t="s">
        <v>87</v>
      </c>
      <c r="E121" s="361" t="s">
        <v>24</v>
      </c>
      <c r="F121" s="535" t="s">
        <v>27</v>
      </c>
      <c r="G121" s="461">
        <v>20.9817</v>
      </c>
      <c r="H121" s="461">
        <v>23.1325</v>
      </c>
      <c r="I121" s="546">
        <v>20.668900000000001</v>
      </c>
      <c r="J121" s="462">
        <v>24.267900000000001</v>
      </c>
      <c r="K121" s="366">
        <v>24.12</v>
      </c>
      <c r="L121" s="468">
        <v>23.72</v>
      </c>
      <c r="M121" s="368">
        <v>-2147.4839999999999</v>
      </c>
      <c r="N121" s="368">
        <v>-65</v>
      </c>
      <c r="O121" s="368">
        <v>-60.003999999999998</v>
      </c>
      <c r="P121" s="368">
        <v>0</v>
      </c>
      <c r="Q121" s="369">
        <v>0</v>
      </c>
      <c r="R121" s="371"/>
      <c r="S121" s="371">
        <v>15</v>
      </c>
      <c r="T121" s="372">
        <v>4.032006</v>
      </c>
      <c r="U121" s="506"/>
      <c r="V121" s="371"/>
      <c r="W121" s="371"/>
      <c r="X121" s="471">
        <f>X120-X106</f>
        <v>7.7000000000000455</v>
      </c>
      <c r="Y121" s="471">
        <f>Y120-Y106</f>
        <v>-6.1999999999999318</v>
      </c>
      <c r="Z121" s="374"/>
    </row>
    <row r="122" spans="1:26">
      <c r="A122" s="360">
        <v>45072</v>
      </c>
      <c r="B122" s="361">
        <f>IF(U122&lt;&gt;0,TIMEVALUE(LEFT(U122,2)&amp;":"&amp;MID(U122,3,2)),"")</f>
        <v>0.69097222222222221</v>
      </c>
      <c r="C122" s="361" t="s">
        <v>43</v>
      </c>
      <c r="D122" s="362" t="s">
        <v>87</v>
      </c>
      <c r="E122" s="361"/>
      <c r="F122" s="535" t="s">
        <v>31</v>
      </c>
      <c r="G122" s="461">
        <v>20.9817</v>
      </c>
      <c r="H122" s="461">
        <v>23.1325</v>
      </c>
      <c r="I122" s="546">
        <v>20.668900000000001</v>
      </c>
      <c r="J122" s="462">
        <v>24.267900000000001</v>
      </c>
      <c r="K122" s="366">
        <v>24.434999999999999</v>
      </c>
      <c r="L122" s="367">
        <v>23.42</v>
      </c>
      <c r="M122" s="368">
        <v>101.51300000000001</v>
      </c>
      <c r="N122" s="368">
        <v>125.72499999999999</v>
      </c>
      <c r="O122" s="368">
        <v>0</v>
      </c>
      <c r="P122" s="368">
        <v>1.67E-2</v>
      </c>
      <c r="Q122" s="369">
        <v>6.5600000000000006E-2</v>
      </c>
      <c r="R122" s="370" t="s">
        <v>68</v>
      </c>
      <c r="S122" s="371">
        <v>30</v>
      </c>
      <c r="T122" s="372">
        <v>3.472213</v>
      </c>
      <c r="U122" s="506">
        <v>163500</v>
      </c>
      <c r="V122" s="374">
        <v>-5.3E-3</v>
      </c>
      <c r="W122" s="374">
        <v>-1.2999999999999999E-3</v>
      </c>
      <c r="X122" s="374"/>
      <c r="Y122" s="374"/>
      <c r="Z122" s="374" t="s">
        <v>89</v>
      </c>
    </row>
    <row r="123" spans="1:26">
      <c r="A123" s="360">
        <v>45072</v>
      </c>
      <c r="B123" s="361">
        <f>IF(U123&lt;&gt;0,TIMEVALUE(LEFT(U123,2)&amp;":"&amp;MID(U123,3,2)),"")</f>
        <v>0.7006944444444444</v>
      </c>
      <c r="C123" s="361" t="s">
        <v>43</v>
      </c>
      <c r="D123" s="362" t="s">
        <v>87</v>
      </c>
      <c r="E123" s="361"/>
      <c r="F123" s="535" t="s">
        <v>32</v>
      </c>
      <c r="G123" s="461">
        <v>20.9817</v>
      </c>
      <c r="H123" s="461">
        <v>23.1325</v>
      </c>
      <c r="I123" s="546">
        <v>20.668900000000001</v>
      </c>
      <c r="J123" s="462">
        <v>24.267900000000001</v>
      </c>
      <c r="K123" s="366">
        <v>24.434999999999999</v>
      </c>
      <c r="L123" s="367">
        <v>23.42</v>
      </c>
      <c r="M123" s="368">
        <v>88.489000000000004</v>
      </c>
      <c r="N123" s="368">
        <v>107.73699999999999</v>
      </c>
      <c r="O123" s="368">
        <v>0</v>
      </c>
      <c r="P123" s="368">
        <v>1.67E-2</v>
      </c>
      <c r="Q123" s="369">
        <v>6.5600000000000006E-2</v>
      </c>
      <c r="R123" s="370">
        <v>1128</v>
      </c>
      <c r="S123" s="371"/>
      <c r="T123" s="372"/>
      <c r="U123" s="506">
        <v>164951</v>
      </c>
      <c r="V123" s="472"/>
      <c r="W123" s="472"/>
      <c r="X123" s="374">
        <v>805.95</v>
      </c>
      <c r="Y123" s="374">
        <v>600.92999999999995</v>
      </c>
      <c r="Z123" s="374"/>
    </row>
    <row r="124" spans="1:26">
      <c r="A124" s="360">
        <v>45072</v>
      </c>
      <c r="B124" s="361">
        <f>IF(U124&lt;&gt;0,TIMEVALUE(LEFT(U124,2)&amp;":"&amp;MID(U124,3,2)),"")</f>
        <v>0.7104166666666667</v>
      </c>
      <c r="C124" s="361" t="s">
        <v>43</v>
      </c>
      <c r="D124" s="362" t="s">
        <v>87</v>
      </c>
      <c r="E124" s="361"/>
      <c r="F124" s="535" t="s">
        <v>31</v>
      </c>
      <c r="G124" s="461">
        <v>20.9817</v>
      </c>
      <c r="H124" s="461">
        <v>23.1325</v>
      </c>
      <c r="I124" s="546">
        <v>20.668900000000001</v>
      </c>
      <c r="J124" s="462">
        <v>24.267900000000001</v>
      </c>
      <c r="K124" s="366">
        <v>24.434999999999999</v>
      </c>
      <c r="L124" s="367">
        <v>23.42</v>
      </c>
      <c r="M124" s="368">
        <v>101.51300000000001</v>
      </c>
      <c r="N124" s="368">
        <v>125.72499999999999</v>
      </c>
      <c r="O124" s="368">
        <v>0</v>
      </c>
      <c r="P124" s="368">
        <v>1.7299999999999999E-2</v>
      </c>
      <c r="Q124" s="369">
        <v>6.5799999999999997E-2</v>
      </c>
      <c r="R124" s="371" t="s">
        <v>68</v>
      </c>
      <c r="S124" s="371"/>
      <c r="T124" s="372"/>
      <c r="U124" s="506">
        <v>170317</v>
      </c>
      <c r="V124" s="374">
        <v>-4.8999999999999998E-3</v>
      </c>
      <c r="W124" s="374">
        <v>8.0000000000000004E-4</v>
      </c>
      <c r="X124" s="473"/>
      <c r="Y124" s="473"/>
      <c r="Z124" s="374"/>
    </row>
    <row r="125" spans="1:26">
      <c r="A125" s="360">
        <v>45072</v>
      </c>
      <c r="B125" s="361">
        <f>IF(U125&lt;&gt;0,TIMEVALUE(LEFT(U125,2)&amp;":"&amp;MID(U125,3,2)),"")</f>
        <v>0.71111111111111114</v>
      </c>
      <c r="C125" s="361" t="s">
        <v>43</v>
      </c>
      <c r="D125" s="362" t="s">
        <v>87</v>
      </c>
      <c r="E125" s="361" t="s">
        <v>24</v>
      </c>
      <c r="F125" s="535" t="s">
        <v>31</v>
      </c>
      <c r="G125" s="461">
        <v>20.9817</v>
      </c>
      <c r="H125" s="461">
        <v>23.1325</v>
      </c>
      <c r="I125" s="546">
        <v>20.668900000000001</v>
      </c>
      <c r="J125" s="462">
        <v>24.267900000000001</v>
      </c>
      <c r="K125" s="366">
        <v>24.434999999999999</v>
      </c>
      <c r="L125" s="367">
        <v>23.42</v>
      </c>
      <c r="M125" s="368">
        <v>101.51300000000001</v>
      </c>
      <c r="N125" s="368">
        <v>125.72499999999999</v>
      </c>
      <c r="O125" s="368">
        <v>0</v>
      </c>
      <c r="P125" s="368">
        <v>1.44E-2</v>
      </c>
      <c r="Q125" s="369">
        <v>7.3800000000000004E-2</v>
      </c>
      <c r="R125" s="371" t="s">
        <v>68</v>
      </c>
      <c r="S125" s="371">
        <v>32</v>
      </c>
      <c r="T125" s="372">
        <v>3.472261</v>
      </c>
      <c r="U125" s="506">
        <v>170444</v>
      </c>
      <c r="V125" s="474">
        <v>-1.0500000000000001E-2</v>
      </c>
      <c r="W125" s="474">
        <v>4.8999999999999998E-3</v>
      </c>
      <c r="X125" s="475"/>
      <c r="Y125" s="475"/>
      <c r="Z125" s="374"/>
    </row>
    <row r="126" spans="1:26">
      <c r="A126" s="360">
        <v>45072</v>
      </c>
      <c r="B126" s="361">
        <f>IF(U126&lt;&gt;0,TIMEVALUE(LEFT(U126,2)&amp;":"&amp;MID(U126,3,2)),"")</f>
        <v>0.71944444444444444</v>
      </c>
      <c r="C126" s="361" t="s">
        <v>43</v>
      </c>
      <c r="D126" s="362" t="s">
        <v>87</v>
      </c>
      <c r="E126" s="361" t="s">
        <v>24</v>
      </c>
      <c r="F126" s="535" t="s">
        <v>32</v>
      </c>
      <c r="G126" s="461">
        <v>20.9817</v>
      </c>
      <c r="H126" s="461">
        <v>23.1325</v>
      </c>
      <c r="I126" s="546">
        <v>20.668900000000001</v>
      </c>
      <c r="J126" s="462">
        <v>24.267900000000001</v>
      </c>
      <c r="K126" s="366">
        <v>24.434999999999999</v>
      </c>
      <c r="L126" s="367">
        <v>23.42</v>
      </c>
      <c r="M126" s="368">
        <v>88.936000000000007</v>
      </c>
      <c r="N126" s="368">
        <v>107.73</v>
      </c>
      <c r="O126" s="368">
        <v>0</v>
      </c>
      <c r="P126" s="368">
        <v>1.43E-2</v>
      </c>
      <c r="Q126" s="369">
        <v>7.3499999999999996E-2</v>
      </c>
      <c r="R126" s="370">
        <v>1130</v>
      </c>
      <c r="S126" s="371"/>
      <c r="T126" s="372"/>
      <c r="U126" s="506">
        <v>171629</v>
      </c>
      <c r="V126" s="475"/>
      <c r="W126" s="475"/>
      <c r="X126" s="474">
        <v>813.78</v>
      </c>
      <c r="Y126" s="474">
        <v>596.6</v>
      </c>
      <c r="Z126" s="374"/>
    </row>
    <row r="127" spans="1:26">
      <c r="A127" s="360">
        <v>45072</v>
      </c>
      <c r="B127" s="361">
        <v>0.72569444444444453</v>
      </c>
      <c r="C127" s="361" t="s">
        <v>43</v>
      </c>
      <c r="D127" s="362" t="s">
        <v>87</v>
      </c>
      <c r="E127" s="361"/>
      <c r="F127" s="535" t="s">
        <v>33</v>
      </c>
      <c r="G127" s="461">
        <v>20.9817</v>
      </c>
      <c r="H127" s="461">
        <v>23.1325</v>
      </c>
      <c r="I127" s="546">
        <v>20.668900000000001</v>
      </c>
      <c r="J127" s="462">
        <v>24.267900000000001</v>
      </c>
      <c r="K127" s="366">
        <v>24.434999999999999</v>
      </c>
      <c r="L127" s="367">
        <v>23.42</v>
      </c>
      <c r="M127" s="368">
        <v>105.9</v>
      </c>
      <c r="N127" s="368">
        <v>99.042000000000002</v>
      </c>
      <c r="O127" s="368">
        <v>0</v>
      </c>
      <c r="P127" s="368">
        <v>1.4500000000000001E-2</v>
      </c>
      <c r="Q127" s="369">
        <v>7.4099999999999999E-2</v>
      </c>
      <c r="R127" s="371"/>
      <c r="S127" s="371">
        <v>23</v>
      </c>
      <c r="T127" s="372">
        <v>3.4585859999999999</v>
      </c>
      <c r="U127" s="506"/>
      <c r="V127" s="371"/>
      <c r="W127" s="371"/>
      <c r="X127" s="373"/>
      <c r="Y127" s="373"/>
      <c r="Z127" s="374"/>
    </row>
    <row r="128" spans="1:26">
      <c r="A128" s="360">
        <v>45072</v>
      </c>
      <c r="B128" s="361">
        <f t="shared" ref="B128:B132" si="3">IF(U128&lt;&gt;0,TIMEVALUE(LEFT(U128,2)&amp;":"&amp;MID(U128,3,2)),"")</f>
        <v>0.73402777777777783</v>
      </c>
      <c r="C128" s="361" t="s">
        <v>43</v>
      </c>
      <c r="D128" s="362" t="s">
        <v>87</v>
      </c>
      <c r="E128" s="361"/>
      <c r="F128" s="535" t="s">
        <v>25</v>
      </c>
      <c r="G128" s="461">
        <v>20.9817</v>
      </c>
      <c r="H128" s="461">
        <v>23.1325</v>
      </c>
      <c r="I128" s="546">
        <v>20.668900000000001</v>
      </c>
      <c r="J128" s="462">
        <v>24.267900000000001</v>
      </c>
      <c r="K128" s="366">
        <v>24.434999999999999</v>
      </c>
      <c r="L128" s="468">
        <v>23.41</v>
      </c>
      <c r="M128" s="368">
        <v>-2147.4839999999999</v>
      </c>
      <c r="N128" s="368">
        <v>-65</v>
      </c>
      <c r="O128" s="368">
        <v>-60.003999999999998</v>
      </c>
      <c r="P128" s="368">
        <v>0</v>
      </c>
      <c r="Q128" s="369">
        <v>0</v>
      </c>
      <c r="R128" s="371" t="s">
        <v>68</v>
      </c>
      <c r="S128" s="371">
        <v>14</v>
      </c>
      <c r="T128" s="372">
        <v>4.0214600000000003</v>
      </c>
      <c r="U128" s="506">
        <v>173715</v>
      </c>
      <c r="V128" s="411">
        <v>-1.26E-2</v>
      </c>
      <c r="W128" s="411">
        <v>6.3E-3</v>
      </c>
      <c r="X128" s="373"/>
      <c r="Y128" s="373"/>
      <c r="Z128" s="374"/>
    </row>
    <row r="129" spans="1:26">
      <c r="A129" s="360">
        <v>45072</v>
      </c>
      <c r="B129" s="361">
        <f t="shared" si="3"/>
        <v>0.73888888888888893</v>
      </c>
      <c r="C129" s="361" t="s">
        <v>43</v>
      </c>
      <c r="D129" s="362" t="s">
        <v>87</v>
      </c>
      <c r="E129" s="361"/>
      <c r="F129" s="535" t="s">
        <v>26</v>
      </c>
      <c r="G129" s="461">
        <v>20.9817</v>
      </c>
      <c r="H129" s="461">
        <v>23.1325</v>
      </c>
      <c r="I129" s="546">
        <v>20.668900000000001</v>
      </c>
      <c r="J129" s="462">
        <v>24.267900000000001</v>
      </c>
      <c r="K129" s="366">
        <v>24.434999999999999</v>
      </c>
      <c r="L129" s="468">
        <v>23.42</v>
      </c>
      <c r="M129" s="368">
        <v>-2147.4839999999999</v>
      </c>
      <c r="N129" s="368">
        <v>-65</v>
      </c>
      <c r="O129" s="368">
        <v>-60.003999999999998</v>
      </c>
      <c r="P129" s="368">
        <v>0</v>
      </c>
      <c r="Q129" s="369">
        <v>0</v>
      </c>
      <c r="R129" s="371" t="s">
        <v>82</v>
      </c>
      <c r="S129" s="371"/>
      <c r="T129" s="372"/>
      <c r="U129" s="506">
        <v>174422</v>
      </c>
      <c r="V129" s="469"/>
      <c r="W129" s="469"/>
      <c r="X129" s="412">
        <v>814.7</v>
      </c>
      <c r="Y129" s="412">
        <v>594.6</v>
      </c>
      <c r="Z129" s="374"/>
    </row>
    <row r="130" spans="1:26" s="329" customFormat="1">
      <c r="A130" s="434">
        <v>45072</v>
      </c>
      <c r="B130" s="435">
        <v>0.74305555555555547</v>
      </c>
      <c r="C130" s="435" t="s">
        <v>43</v>
      </c>
      <c r="D130" s="436" t="s">
        <v>87</v>
      </c>
      <c r="E130" s="435"/>
      <c r="F130" s="541" t="s">
        <v>27</v>
      </c>
      <c r="G130" s="464">
        <v>20.9817</v>
      </c>
      <c r="H130" s="464">
        <v>23.1325</v>
      </c>
      <c r="I130" s="549">
        <v>20.668900000000001</v>
      </c>
      <c r="J130" s="465">
        <v>24.267900000000001</v>
      </c>
      <c r="K130" s="421">
        <v>24.12</v>
      </c>
      <c r="L130" s="466">
        <v>23.72</v>
      </c>
      <c r="M130" s="423">
        <v>-2147.4839999999999</v>
      </c>
      <c r="N130" s="423">
        <v>-65</v>
      </c>
      <c r="O130" s="423">
        <v>-60.003999999999998</v>
      </c>
      <c r="P130" s="423">
        <v>0</v>
      </c>
      <c r="Q130" s="424">
        <v>0</v>
      </c>
      <c r="R130" s="425"/>
      <c r="S130" s="425">
        <v>15</v>
      </c>
      <c r="T130" s="476">
        <v>4.0320080000000003</v>
      </c>
      <c r="U130" s="509"/>
      <c r="V130" s="425"/>
      <c r="W130" s="425"/>
      <c r="X130" s="477"/>
      <c r="Y130" s="477"/>
      <c r="Z130" s="428"/>
    </row>
    <row r="131" spans="1:26">
      <c r="A131" s="360">
        <v>45076</v>
      </c>
      <c r="B131" s="361">
        <f t="shared" si="3"/>
        <v>0.4909722222222222</v>
      </c>
      <c r="C131" s="361" t="s">
        <v>43</v>
      </c>
      <c r="D131" s="362" t="s">
        <v>90</v>
      </c>
      <c r="E131" s="361" t="s">
        <v>24</v>
      </c>
      <c r="F131" s="535" t="s">
        <v>25</v>
      </c>
      <c r="G131" s="461">
        <v>20.9817</v>
      </c>
      <c r="H131" s="461">
        <v>23.1325</v>
      </c>
      <c r="I131" s="546">
        <v>20.668900000000001</v>
      </c>
      <c r="J131" s="462">
        <v>24.267900000000001</v>
      </c>
      <c r="K131" s="366">
        <v>24.434999999999999</v>
      </c>
      <c r="L131" s="468">
        <v>23.41</v>
      </c>
      <c r="M131" s="368">
        <v>-2147.4839999999999</v>
      </c>
      <c r="N131" s="368">
        <v>-65</v>
      </c>
      <c r="O131" s="368">
        <v>-60.003999999999998</v>
      </c>
      <c r="P131" s="368">
        <v>0</v>
      </c>
      <c r="Q131" s="369">
        <v>0</v>
      </c>
      <c r="R131" s="371" t="s">
        <v>68</v>
      </c>
      <c r="S131" s="371">
        <v>27</v>
      </c>
      <c r="T131" s="478">
        <v>4.0214590000000001</v>
      </c>
      <c r="U131" s="506">
        <v>114745</v>
      </c>
      <c r="V131" s="411">
        <v>-1.26E-2</v>
      </c>
      <c r="W131" s="411">
        <v>7.0000000000000001E-3</v>
      </c>
      <c r="X131" s="373"/>
      <c r="Y131" s="373"/>
      <c r="Z131" s="479" t="s">
        <v>91</v>
      </c>
    </row>
    <row r="132" spans="1:26">
      <c r="A132" s="360">
        <v>45076</v>
      </c>
      <c r="B132" s="361">
        <f t="shared" si="3"/>
        <v>0.49305555555555558</v>
      </c>
      <c r="C132" s="361" t="s">
        <v>43</v>
      </c>
      <c r="D132" s="362" t="s">
        <v>90</v>
      </c>
      <c r="E132" s="361" t="s">
        <v>24</v>
      </c>
      <c r="F132" s="535" t="s">
        <v>26</v>
      </c>
      <c r="G132" s="461">
        <v>20.9817</v>
      </c>
      <c r="H132" s="461">
        <v>23.1325</v>
      </c>
      <c r="I132" s="546">
        <v>20.668900000000001</v>
      </c>
      <c r="J132" s="462">
        <v>24.267900000000001</v>
      </c>
      <c r="K132" s="366">
        <v>24.434999999999999</v>
      </c>
      <c r="L132" s="468">
        <v>23.41</v>
      </c>
      <c r="M132" s="368">
        <v>-2147.4839999999999</v>
      </c>
      <c r="N132" s="368">
        <v>-65</v>
      </c>
      <c r="O132" s="368">
        <v>-60.003999999999998</v>
      </c>
      <c r="P132" s="368">
        <v>0</v>
      </c>
      <c r="Q132" s="369">
        <v>0</v>
      </c>
      <c r="R132" s="371" t="s">
        <v>82</v>
      </c>
      <c r="S132" s="371"/>
      <c r="T132" s="480">
        <f>T131-T130</f>
        <v>-1.0549000000000142E-2</v>
      </c>
      <c r="U132" s="506">
        <v>115044</v>
      </c>
      <c r="V132" s="469">
        <f>V131-V128</f>
        <v>0</v>
      </c>
      <c r="W132" s="469">
        <f>W131-W128</f>
        <v>7.000000000000001E-4</v>
      </c>
      <c r="X132" s="412">
        <v>814.59</v>
      </c>
      <c r="Y132" s="412">
        <v>594.70000000000005</v>
      </c>
      <c r="Z132" s="470"/>
    </row>
    <row r="133" spans="1:26">
      <c r="A133" s="360">
        <v>45076</v>
      </c>
      <c r="B133" s="361">
        <v>0.50069444444444444</v>
      </c>
      <c r="C133" s="361" t="s">
        <v>43</v>
      </c>
      <c r="D133" s="362" t="s">
        <v>90</v>
      </c>
      <c r="E133" s="361" t="s">
        <v>24</v>
      </c>
      <c r="F133" s="535" t="s">
        <v>27</v>
      </c>
      <c r="G133" s="461">
        <v>20.9817</v>
      </c>
      <c r="H133" s="461">
        <v>23.1325</v>
      </c>
      <c r="I133" s="546">
        <v>20.668900000000001</v>
      </c>
      <c r="J133" s="462">
        <v>24.267900000000001</v>
      </c>
      <c r="K133" s="366">
        <v>24.12</v>
      </c>
      <c r="L133" s="468">
        <v>23.72</v>
      </c>
      <c r="M133" s="368">
        <v>-2147.4839999999999</v>
      </c>
      <c r="N133" s="368">
        <v>-65</v>
      </c>
      <c r="O133" s="368">
        <v>-60.003999999999998</v>
      </c>
      <c r="P133" s="368">
        <v>0</v>
      </c>
      <c r="Q133" s="369">
        <v>0</v>
      </c>
      <c r="R133" s="371"/>
      <c r="S133" s="371">
        <v>11</v>
      </c>
      <c r="T133" s="481">
        <v>4.0320049999999998</v>
      </c>
      <c r="U133" s="506"/>
      <c r="V133" s="469"/>
      <c r="W133" s="469"/>
      <c r="X133" s="482">
        <f>X132-X$129</f>
        <v>-0.11000000000001364</v>
      </c>
      <c r="Y133" s="482">
        <f>Y132-Y$129</f>
        <v>0.10000000000002274</v>
      </c>
      <c r="Z133" s="483" t="s">
        <v>92</v>
      </c>
    </row>
    <row r="134" spans="1:26">
      <c r="A134" s="360">
        <v>45076</v>
      </c>
      <c r="B134" s="361">
        <v>0.50416666666666665</v>
      </c>
      <c r="C134" s="361" t="s">
        <v>43</v>
      </c>
      <c r="D134" s="362" t="s">
        <v>90</v>
      </c>
      <c r="E134" s="361" t="s">
        <v>24</v>
      </c>
      <c r="F134" s="535" t="s">
        <v>28</v>
      </c>
      <c r="G134" s="461">
        <v>20.9817</v>
      </c>
      <c r="H134" s="461">
        <v>23.1325</v>
      </c>
      <c r="I134" s="546">
        <v>20.668900000000001</v>
      </c>
      <c r="J134" s="462">
        <v>24.267900000000001</v>
      </c>
      <c r="K134" s="366">
        <v>24.63</v>
      </c>
      <c r="L134" s="468">
        <v>23.18</v>
      </c>
      <c r="M134" s="368">
        <v>-2147.4839999999999</v>
      </c>
      <c r="N134" s="368">
        <v>-65</v>
      </c>
      <c r="O134" s="368">
        <v>-60.003999999999998</v>
      </c>
      <c r="P134" s="368">
        <v>0</v>
      </c>
      <c r="Q134" s="369">
        <v>0</v>
      </c>
      <c r="R134" s="371"/>
      <c r="S134" s="371">
        <v>10</v>
      </c>
      <c r="T134" s="372">
        <v>4.7630650000000001</v>
      </c>
      <c r="U134" s="506"/>
      <c r="V134" s="469"/>
      <c r="W134" s="469"/>
      <c r="X134" s="371"/>
      <c r="Y134" s="371"/>
      <c r="Z134" s="374"/>
    </row>
    <row r="135" spans="1:26">
      <c r="A135" s="360">
        <v>45076</v>
      </c>
      <c r="B135" s="361">
        <f>IF(U135&lt;&gt;0,TIMEVALUE(LEFT(U135,2)&amp;":"&amp;MID(U135,3,2)),"")</f>
        <v>0.52013888888888882</v>
      </c>
      <c r="C135" s="361" t="s">
        <v>43</v>
      </c>
      <c r="D135" s="362" t="s">
        <v>90</v>
      </c>
      <c r="E135" s="361" t="s">
        <v>24</v>
      </c>
      <c r="F135" s="535" t="s">
        <v>31</v>
      </c>
      <c r="G135" s="461">
        <v>20.9817</v>
      </c>
      <c r="H135" s="461">
        <v>23.1325</v>
      </c>
      <c r="I135" s="546">
        <v>20.668900000000001</v>
      </c>
      <c r="J135" s="462">
        <v>24.267900000000001</v>
      </c>
      <c r="K135" s="366">
        <v>24.434999999999999</v>
      </c>
      <c r="L135" s="468">
        <v>23.41</v>
      </c>
      <c r="M135" s="368">
        <v>101.51300000000001</v>
      </c>
      <c r="N135" s="368">
        <v>125.72499999999999</v>
      </c>
      <c r="O135" s="368">
        <v>0</v>
      </c>
      <c r="P135" s="368">
        <v>1.43E-2</v>
      </c>
      <c r="Q135" s="369">
        <v>7.3700000000000002E-2</v>
      </c>
      <c r="R135" s="370" t="s">
        <v>68</v>
      </c>
      <c r="S135" s="371">
        <v>13</v>
      </c>
      <c r="T135" s="372">
        <v>3.4722110000000002</v>
      </c>
      <c r="U135" s="506">
        <v>122925</v>
      </c>
      <c r="V135" s="374">
        <v>-1.1900000000000001E-2</v>
      </c>
      <c r="W135" s="374">
        <v>5.5999999999999999E-3</v>
      </c>
      <c r="X135" s="373"/>
      <c r="Y135" s="373"/>
      <c r="Z135" s="374"/>
    </row>
    <row r="136" spans="1:26">
      <c r="A136" s="360">
        <v>45076</v>
      </c>
      <c r="B136" s="361">
        <f t="shared" ref="B136:B144" si="4">IF(U136&lt;&gt;0,TIMEVALUE(LEFT(U136,2)&amp;":"&amp;MID(U136,3,2)),"")</f>
        <v>0.53194444444444444</v>
      </c>
      <c r="C136" s="361" t="s">
        <v>43</v>
      </c>
      <c r="D136" s="362" t="s">
        <v>90</v>
      </c>
      <c r="E136" s="361" t="s">
        <v>24</v>
      </c>
      <c r="F136" s="535" t="s">
        <v>32</v>
      </c>
      <c r="G136" s="461">
        <v>20.9817</v>
      </c>
      <c r="H136" s="461">
        <v>23.1325</v>
      </c>
      <c r="I136" s="546">
        <v>20.668900000000001</v>
      </c>
      <c r="J136" s="462">
        <v>24.267900000000001</v>
      </c>
      <c r="K136" s="366">
        <v>24.434999999999999</v>
      </c>
      <c r="L136" s="468">
        <v>23.41</v>
      </c>
      <c r="M136" s="484">
        <v>88.936000000000007</v>
      </c>
      <c r="N136" s="484">
        <v>107.73</v>
      </c>
      <c r="O136" s="484">
        <v>0</v>
      </c>
      <c r="P136" s="484">
        <v>1.43E-2</v>
      </c>
      <c r="Q136" s="485">
        <v>7.3499999999999996E-2</v>
      </c>
      <c r="R136" s="370">
        <v>1130</v>
      </c>
      <c r="S136" s="371"/>
      <c r="T136" s="480">
        <f>T135-T125</f>
        <v>-4.9999999999883471E-5</v>
      </c>
      <c r="U136" s="506">
        <v>124649</v>
      </c>
      <c r="V136" s="486">
        <f>V135-V128</f>
        <v>6.9999999999999923E-4</v>
      </c>
      <c r="W136" s="486">
        <f>W135-W128</f>
        <v>-7.000000000000001E-4</v>
      </c>
      <c r="X136" s="487">
        <v>813.9</v>
      </c>
      <c r="Y136" s="487">
        <v>595.79999999999995</v>
      </c>
      <c r="Z136" s="488"/>
    </row>
    <row r="137" spans="1:26">
      <c r="A137" s="360">
        <v>45076</v>
      </c>
      <c r="B137" s="361">
        <f t="shared" si="4"/>
        <v>0.54652777777777783</v>
      </c>
      <c r="C137" s="361" t="s">
        <v>43</v>
      </c>
      <c r="D137" s="362" t="s">
        <v>90</v>
      </c>
      <c r="E137" s="361"/>
      <c r="F137" s="535" t="s">
        <v>25</v>
      </c>
      <c r="G137" s="461">
        <v>20.9817</v>
      </c>
      <c r="H137" s="461">
        <v>23.1325</v>
      </c>
      <c r="I137" s="546">
        <v>20.668900000000001</v>
      </c>
      <c r="J137" s="462">
        <v>24.267900000000001</v>
      </c>
      <c r="K137" s="366">
        <v>24.437000000000001</v>
      </c>
      <c r="L137" s="367">
        <v>23.414000000000001</v>
      </c>
      <c r="M137" s="368">
        <v>-2147.4839999999999</v>
      </c>
      <c r="N137" s="368">
        <v>-65</v>
      </c>
      <c r="O137" s="368">
        <v>-60.003999999999998</v>
      </c>
      <c r="P137" s="368">
        <v>0</v>
      </c>
      <c r="Q137" s="369">
        <v>0</v>
      </c>
      <c r="R137" s="371" t="s">
        <v>68</v>
      </c>
      <c r="S137" s="371">
        <v>11</v>
      </c>
      <c r="T137" s="372">
        <v>4.0214590000000001</v>
      </c>
      <c r="U137" s="506">
        <v>130739</v>
      </c>
      <c r="V137" s="371">
        <v>-1.3299999999999999E-2</v>
      </c>
      <c r="W137" s="371">
        <v>6.3E-3</v>
      </c>
      <c r="X137" s="489">
        <f>X136-X$126</f>
        <v>0.12000000000000455</v>
      </c>
      <c r="Y137" s="489">
        <f>Y136-Y$126</f>
        <v>-0.80000000000006821</v>
      </c>
      <c r="Z137" s="490" t="s">
        <v>93</v>
      </c>
    </row>
    <row r="138" spans="1:26">
      <c r="A138" s="360">
        <v>45076</v>
      </c>
      <c r="B138" s="361">
        <f t="shared" si="4"/>
        <v>0.55277777777777781</v>
      </c>
      <c r="C138" s="361" t="s">
        <v>43</v>
      </c>
      <c r="D138" s="362" t="s">
        <v>90</v>
      </c>
      <c r="E138" s="361"/>
      <c r="F138" s="535" t="s">
        <v>26</v>
      </c>
      <c r="G138" s="461">
        <v>20.9817</v>
      </c>
      <c r="H138" s="461">
        <v>23.1325</v>
      </c>
      <c r="I138" s="546">
        <v>20.668900000000001</v>
      </c>
      <c r="J138" s="462">
        <v>24.267900000000001</v>
      </c>
      <c r="K138" s="366">
        <v>24.437000000000001</v>
      </c>
      <c r="L138" s="367">
        <v>23.414000000000001</v>
      </c>
      <c r="M138" s="368">
        <v>-2147.4839999999999</v>
      </c>
      <c r="N138" s="368">
        <v>-65</v>
      </c>
      <c r="O138" s="368">
        <v>-60.003999999999998</v>
      </c>
      <c r="P138" s="368">
        <v>0</v>
      </c>
      <c r="Q138" s="369">
        <v>0</v>
      </c>
      <c r="R138" s="371" t="s">
        <v>82</v>
      </c>
      <c r="S138" s="371"/>
      <c r="T138" s="372"/>
      <c r="U138" s="506">
        <v>131613</v>
      </c>
      <c r="V138" s="469">
        <f>V137-V131</f>
        <v>-6.9999999999999923E-4</v>
      </c>
      <c r="W138" s="469">
        <f>W137-W131</f>
        <v>-7.000000000000001E-4</v>
      </c>
      <c r="X138" s="373">
        <v>814.7</v>
      </c>
      <c r="Y138" s="373">
        <v>593.79999999999995</v>
      </c>
      <c r="Z138" s="374"/>
    </row>
    <row r="139" spans="1:26">
      <c r="A139" s="360">
        <v>45076</v>
      </c>
      <c r="B139" s="361">
        <f t="shared" si="4"/>
        <v>0.56597222222222221</v>
      </c>
      <c r="C139" s="361" t="s">
        <v>43</v>
      </c>
      <c r="D139" s="362" t="s">
        <v>90</v>
      </c>
      <c r="E139" s="361"/>
      <c r="F139" s="535" t="s">
        <v>31</v>
      </c>
      <c r="G139" s="461">
        <v>20.9817</v>
      </c>
      <c r="H139" s="461">
        <v>23.1325</v>
      </c>
      <c r="I139" s="546">
        <v>20.668900000000001</v>
      </c>
      <c r="J139" s="462">
        <v>24.267900000000001</v>
      </c>
      <c r="K139" s="366">
        <v>24.437000000000001</v>
      </c>
      <c r="L139" s="367">
        <v>23.414000000000001</v>
      </c>
      <c r="M139" s="368">
        <v>101.51300000000001</v>
      </c>
      <c r="N139" s="368">
        <v>125.72499999999999</v>
      </c>
      <c r="O139" s="368">
        <v>0</v>
      </c>
      <c r="P139" s="368">
        <v>1.43E-2</v>
      </c>
      <c r="Q139" s="369">
        <v>7.3700000000000002E-2</v>
      </c>
      <c r="R139" s="371" t="s">
        <v>68</v>
      </c>
      <c r="S139" s="371">
        <v>18</v>
      </c>
      <c r="T139" s="372">
        <v>3.472207</v>
      </c>
      <c r="U139" s="506">
        <v>133500</v>
      </c>
      <c r="V139" s="374">
        <v>-1.15E-2</v>
      </c>
      <c r="W139" s="374">
        <v>5.5999999999999999E-3</v>
      </c>
      <c r="X139" s="491">
        <f>X138-X$129</f>
        <v>0</v>
      </c>
      <c r="Y139" s="491">
        <f>Y138-Y$129</f>
        <v>-0.80000000000006821</v>
      </c>
      <c r="Z139" s="374"/>
    </row>
    <row r="140" spans="1:26">
      <c r="A140" s="360">
        <v>45076</v>
      </c>
      <c r="B140" s="361">
        <f t="shared" si="4"/>
        <v>0.57222222222222219</v>
      </c>
      <c r="C140" s="361" t="s">
        <v>43</v>
      </c>
      <c r="D140" s="362" t="s">
        <v>90</v>
      </c>
      <c r="E140" s="361"/>
      <c r="F140" s="535" t="s">
        <v>32</v>
      </c>
      <c r="G140" s="461">
        <v>20.9817</v>
      </c>
      <c r="H140" s="461">
        <v>23.1325</v>
      </c>
      <c r="I140" s="546">
        <v>20.668900000000001</v>
      </c>
      <c r="J140" s="462">
        <v>24.267900000000001</v>
      </c>
      <c r="K140" s="366">
        <v>24.437000000000001</v>
      </c>
      <c r="L140" s="367">
        <v>23.414000000000001</v>
      </c>
      <c r="M140" s="484">
        <v>88.936000000000007</v>
      </c>
      <c r="N140" s="484">
        <v>107.73</v>
      </c>
      <c r="O140" s="484">
        <v>0</v>
      </c>
      <c r="P140" s="484">
        <v>1.43E-2</v>
      </c>
      <c r="Q140" s="485">
        <v>7.3499999999999996E-2</v>
      </c>
      <c r="R140" s="370">
        <v>1130</v>
      </c>
      <c r="S140" s="371"/>
      <c r="T140" s="372"/>
      <c r="U140" s="506">
        <v>134406</v>
      </c>
      <c r="V140" s="486">
        <f>V139-V135</f>
        <v>4.0000000000000105E-4</v>
      </c>
      <c r="W140" s="486">
        <f>W139-W135</f>
        <v>0</v>
      </c>
      <c r="X140" s="492">
        <v>813.95</v>
      </c>
      <c r="Y140" s="492">
        <v>594.79999999999995</v>
      </c>
      <c r="Z140" s="374"/>
    </row>
    <row r="141" spans="1:26">
      <c r="A141" s="360">
        <v>45076</v>
      </c>
      <c r="B141" s="361">
        <f t="shared" si="4"/>
        <v>0.58333333333333337</v>
      </c>
      <c r="C141" s="361" t="s">
        <v>43</v>
      </c>
      <c r="D141" s="362" t="s">
        <v>90</v>
      </c>
      <c r="E141" s="361"/>
      <c r="F141" s="535" t="s">
        <v>25</v>
      </c>
      <c r="G141" s="461">
        <v>20.9817</v>
      </c>
      <c r="H141" s="461">
        <v>23.1325</v>
      </c>
      <c r="I141" s="546">
        <v>20.668900000000001</v>
      </c>
      <c r="J141" s="462">
        <v>24.267900000000001</v>
      </c>
      <c r="K141" s="366">
        <v>24.437000000000001</v>
      </c>
      <c r="L141" s="367">
        <v>23.414000000000001</v>
      </c>
      <c r="M141" s="368">
        <v>-2147.4839999999999</v>
      </c>
      <c r="N141" s="368">
        <v>-65</v>
      </c>
      <c r="O141" s="368">
        <v>-60.003999999999998</v>
      </c>
      <c r="P141" s="368">
        <v>0</v>
      </c>
      <c r="Q141" s="369">
        <v>0</v>
      </c>
      <c r="R141" s="371" t="s">
        <v>68</v>
      </c>
      <c r="S141" s="371">
        <v>11</v>
      </c>
      <c r="T141" s="372">
        <v>4.0214650000000001</v>
      </c>
      <c r="U141" s="506">
        <v>140020</v>
      </c>
      <c r="V141" s="371">
        <v>-1.3299999999999999E-2</v>
      </c>
      <c r="W141" s="371">
        <v>6.3E-3</v>
      </c>
      <c r="X141" s="489">
        <f>X140-X$126</f>
        <v>0.17000000000007276</v>
      </c>
      <c r="Y141" s="489">
        <f>Y140-Y$126</f>
        <v>-1.8000000000000682</v>
      </c>
      <c r="Z141" s="374"/>
    </row>
    <row r="142" spans="1:26">
      <c r="A142" s="360">
        <v>45076</v>
      </c>
      <c r="B142" s="361">
        <f t="shared" si="4"/>
        <v>0.5854166666666667</v>
      </c>
      <c r="C142" s="361" t="s">
        <v>43</v>
      </c>
      <c r="D142" s="362" t="s">
        <v>90</v>
      </c>
      <c r="E142" s="361"/>
      <c r="F142" s="535" t="s">
        <v>26</v>
      </c>
      <c r="G142" s="461">
        <v>20.9817</v>
      </c>
      <c r="H142" s="461">
        <v>23.1325</v>
      </c>
      <c r="I142" s="546">
        <v>20.668900000000001</v>
      </c>
      <c r="J142" s="462">
        <v>24.267900000000001</v>
      </c>
      <c r="K142" s="366">
        <v>24.437000000000001</v>
      </c>
      <c r="L142" s="367">
        <v>23.414000000000001</v>
      </c>
      <c r="M142" s="368">
        <v>-2147.4839999999999</v>
      </c>
      <c r="N142" s="368">
        <v>-65</v>
      </c>
      <c r="O142" s="368">
        <v>-60.003999999999998</v>
      </c>
      <c r="P142" s="368">
        <v>0</v>
      </c>
      <c r="Q142" s="369">
        <v>0</v>
      </c>
      <c r="R142" s="371" t="s">
        <v>82</v>
      </c>
      <c r="S142" s="371"/>
      <c r="T142" s="372"/>
      <c r="U142" s="506">
        <v>140317</v>
      </c>
      <c r="V142" s="469">
        <f>V141-V137</f>
        <v>0</v>
      </c>
      <c r="W142" s="469">
        <f>W141-W137</f>
        <v>0</v>
      </c>
      <c r="X142" s="373">
        <v>814.75</v>
      </c>
      <c r="Y142" s="373">
        <v>593.6</v>
      </c>
      <c r="Z142" s="374"/>
    </row>
    <row r="143" spans="1:26">
      <c r="A143" s="360">
        <v>45076</v>
      </c>
      <c r="B143" s="361">
        <f t="shared" si="4"/>
        <v>0.59652777777777777</v>
      </c>
      <c r="C143" s="361" t="s">
        <v>43</v>
      </c>
      <c r="D143" s="362" t="s">
        <v>90</v>
      </c>
      <c r="E143" s="361"/>
      <c r="F143" s="535" t="s">
        <v>31</v>
      </c>
      <c r="G143" s="461">
        <v>20.9817</v>
      </c>
      <c r="H143" s="461">
        <v>23.1325</v>
      </c>
      <c r="I143" s="546">
        <v>20.668900000000001</v>
      </c>
      <c r="J143" s="462">
        <v>24.267900000000001</v>
      </c>
      <c r="K143" s="366">
        <v>24.437000000000001</v>
      </c>
      <c r="L143" s="367">
        <v>23.414000000000001</v>
      </c>
      <c r="M143" s="368">
        <v>101.51300000000001</v>
      </c>
      <c r="N143" s="368">
        <v>125.72499999999999</v>
      </c>
      <c r="O143" s="368">
        <v>0</v>
      </c>
      <c r="P143" s="368">
        <v>1.43E-2</v>
      </c>
      <c r="Q143" s="369">
        <v>7.3700000000000002E-2</v>
      </c>
      <c r="R143" s="371" t="s">
        <v>68</v>
      </c>
      <c r="S143" s="371">
        <v>17</v>
      </c>
      <c r="T143" s="372">
        <v>3.4722059999999999</v>
      </c>
      <c r="U143" s="506">
        <v>141918</v>
      </c>
      <c r="V143" s="374">
        <v>-1.1900000000000001E-2</v>
      </c>
      <c r="W143" s="374">
        <v>5.5999999999999999E-3</v>
      </c>
      <c r="X143" s="491">
        <f>X142-X$129</f>
        <v>4.9999999999954525E-2</v>
      </c>
      <c r="Y143" s="491">
        <f>Y142-Y$129</f>
        <v>-1</v>
      </c>
      <c r="Z143" s="374"/>
    </row>
    <row r="144" spans="1:26">
      <c r="A144" s="360">
        <v>45076</v>
      </c>
      <c r="B144" s="361">
        <f t="shared" si="4"/>
        <v>0.60347222222222219</v>
      </c>
      <c r="C144" s="361" t="s">
        <v>43</v>
      </c>
      <c r="D144" s="362" t="s">
        <v>90</v>
      </c>
      <c r="E144" s="361"/>
      <c r="F144" s="535" t="s">
        <v>32</v>
      </c>
      <c r="G144" s="461">
        <v>20.9817</v>
      </c>
      <c r="H144" s="461">
        <v>23.1325</v>
      </c>
      <c r="I144" s="546">
        <v>20.668900000000001</v>
      </c>
      <c r="J144" s="462">
        <v>24.267900000000001</v>
      </c>
      <c r="K144" s="366">
        <v>24.437000000000001</v>
      </c>
      <c r="L144" s="367">
        <v>23.414000000000001</v>
      </c>
      <c r="M144" s="484">
        <v>88.936000000000007</v>
      </c>
      <c r="N144" s="484">
        <v>107.73</v>
      </c>
      <c r="O144" s="484">
        <v>0</v>
      </c>
      <c r="P144" s="484">
        <v>1.43E-2</v>
      </c>
      <c r="Q144" s="485">
        <v>7.3499999999999996E-2</v>
      </c>
      <c r="R144" s="370">
        <v>1130</v>
      </c>
      <c r="S144" s="371"/>
      <c r="T144" s="372"/>
      <c r="U144" s="506">
        <v>142922</v>
      </c>
      <c r="V144" s="371"/>
      <c r="W144" s="371"/>
      <c r="X144" s="492">
        <v>814</v>
      </c>
      <c r="Y144" s="492">
        <v>594.98</v>
      </c>
      <c r="Z144" s="374" t="s">
        <v>94</v>
      </c>
    </row>
    <row r="145" spans="1:26">
      <c r="A145" s="360">
        <v>45076</v>
      </c>
      <c r="B145" s="361">
        <f t="shared" ref="B145:B150" si="5">IF(U145&lt;&gt;0,TIMEVALUE(LEFT(U145,2)&amp;":"&amp;MID(U145,3,2)),"")</f>
        <v>0.67291666666666661</v>
      </c>
      <c r="C145" s="361" t="s">
        <v>43</v>
      </c>
      <c r="D145" s="362" t="s">
        <v>90</v>
      </c>
      <c r="E145" s="361"/>
      <c r="F145" s="535" t="str">
        <f>F141</f>
        <v>sMATF mirror</v>
      </c>
      <c r="G145" s="461">
        <v>20.9817</v>
      </c>
      <c r="H145" s="461">
        <v>23.1325</v>
      </c>
      <c r="I145" s="546">
        <v>20.668900000000001</v>
      </c>
      <c r="J145" s="462">
        <v>24.267900000000001</v>
      </c>
      <c r="K145" s="366">
        <v>24.437000000000001</v>
      </c>
      <c r="L145" s="367">
        <v>23.414000000000001</v>
      </c>
      <c r="M145" s="368">
        <v>-2147.4839999999999</v>
      </c>
      <c r="N145" s="368">
        <v>-65</v>
      </c>
      <c r="O145" s="368">
        <v>-60.003999999999998</v>
      </c>
      <c r="P145" s="368">
        <v>0</v>
      </c>
      <c r="Q145" s="369">
        <v>0</v>
      </c>
      <c r="R145" s="371" t="s">
        <v>68</v>
      </c>
      <c r="S145" s="371">
        <v>15</v>
      </c>
      <c r="T145" s="372">
        <v>4.0214749999999997</v>
      </c>
      <c r="U145" s="506">
        <v>160922</v>
      </c>
      <c r="V145" s="371">
        <v>-1.4E-2</v>
      </c>
      <c r="W145" s="371">
        <v>6.0000000000000001E-3</v>
      </c>
      <c r="X145" s="489">
        <f>X144-X$126</f>
        <v>0.22000000000002728</v>
      </c>
      <c r="Y145" s="489">
        <f>Y144-Y$126</f>
        <v>-1.6200000000000045</v>
      </c>
      <c r="Z145" s="374" t="s">
        <v>95</v>
      </c>
    </row>
    <row r="146" spans="1:26">
      <c r="A146" s="360">
        <v>45076</v>
      </c>
      <c r="B146" s="361">
        <f t="shared" si="5"/>
        <v>0.67499999999999993</v>
      </c>
      <c r="C146" s="361" t="s">
        <v>43</v>
      </c>
      <c r="D146" s="362" t="s">
        <v>90</v>
      </c>
      <c r="E146" s="361"/>
      <c r="F146" s="535" t="str">
        <f t="shared" ref="F146:F150" si="6">F142</f>
        <v>sMATF LED pri</v>
      </c>
      <c r="G146" s="461">
        <v>20.9817</v>
      </c>
      <c r="H146" s="461">
        <v>23.1325</v>
      </c>
      <c r="I146" s="546">
        <v>20.668900000000001</v>
      </c>
      <c r="J146" s="462">
        <v>24.267900000000001</v>
      </c>
      <c r="K146" s="366">
        <v>24.437000000000001</v>
      </c>
      <c r="L146" s="367">
        <v>23.414000000000001</v>
      </c>
      <c r="M146" s="368">
        <v>-2147.4839999999999</v>
      </c>
      <c r="N146" s="368">
        <v>-65</v>
      </c>
      <c r="O146" s="368">
        <v>-60.003999999999998</v>
      </c>
      <c r="P146" s="368">
        <v>0</v>
      </c>
      <c r="Q146" s="369">
        <v>0</v>
      </c>
      <c r="R146" s="371" t="s">
        <v>82</v>
      </c>
      <c r="S146" s="371"/>
      <c r="T146" s="372"/>
      <c r="U146" s="506">
        <v>161225</v>
      </c>
      <c r="V146" s="371"/>
      <c r="W146" s="371"/>
      <c r="X146" s="373">
        <v>814.7</v>
      </c>
      <c r="Y146" s="373">
        <v>593.6</v>
      </c>
      <c r="Z146" s="493"/>
    </row>
    <row r="147" spans="1:26">
      <c r="A147" s="360">
        <v>45076</v>
      </c>
      <c r="B147" s="361">
        <f t="shared" si="5"/>
        <v>0.6875</v>
      </c>
      <c r="C147" s="361" t="s">
        <v>43</v>
      </c>
      <c r="D147" s="362" t="s">
        <v>90</v>
      </c>
      <c r="E147" s="361"/>
      <c r="F147" s="535" t="str">
        <f t="shared" si="6"/>
        <v>PATB mirror</v>
      </c>
      <c r="G147" s="461">
        <v>20.9817</v>
      </c>
      <c r="H147" s="461">
        <v>23.1325</v>
      </c>
      <c r="I147" s="546">
        <v>20.668900000000001</v>
      </c>
      <c r="J147" s="462">
        <v>24.267900000000001</v>
      </c>
      <c r="K147" s="366">
        <v>24.437000000000001</v>
      </c>
      <c r="L147" s="367">
        <v>23.414000000000001</v>
      </c>
      <c r="M147" s="368">
        <v>101.51300000000001</v>
      </c>
      <c r="N147" s="368">
        <v>125.72499999999999</v>
      </c>
      <c r="O147" s="368">
        <v>0</v>
      </c>
      <c r="P147" s="368">
        <v>1.43E-2</v>
      </c>
      <c r="Q147" s="369">
        <v>7.3700000000000002E-2</v>
      </c>
      <c r="R147" s="371" t="s">
        <v>68</v>
      </c>
      <c r="S147" s="371">
        <v>22</v>
      </c>
      <c r="T147" s="372">
        <v>3.4722240000000002</v>
      </c>
      <c r="U147" s="506">
        <v>163037</v>
      </c>
      <c r="V147" s="374">
        <v>-1.3299999999999999E-2</v>
      </c>
      <c r="W147" s="374">
        <v>5.5999999999999999E-3</v>
      </c>
      <c r="X147" s="491">
        <f>X146-X$129</f>
        <v>0</v>
      </c>
      <c r="Y147" s="491">
        <f>Y146-Y$129</f>
        <v>-1</v>
      </c>
      <c r="Z147" s="374"/>
    </row>
    <row r="148" spans="1:26">
      <c r="A148" s="360">
        <v>45076</v>
      </c>
      <c r="B148" s="361">
        <f t="shared" si="5"/>
        <v>0.69652777777777775</v>
      </c>
      <c r="C148" s="361" t="s">
        <v>43</v>
      </c>
      <c r="D148" s="362" t="s">
        <v>90</v>
      </c>
      <c r="E148" s="361"/>
      <c r="F148" s="535" t="str">
        <f t="shared" si="6"/>
        <v>PATB LED pri</v>
      </c>
      <c r="G148" s="461">
        <v>20.9817</v>
      </c>
      <c r="H148" s="461">
        <v>23.1325</v>
      </c>
      <c r="I148" s="546">
        <v>20.668900000000001</v>
      </c>
      <c r="J148" s="462">
        <v>24.267900000000001</v>
      </c>
      <c r="K148" s="366">
        <v>24.437000000000001</v>
      </c>
      <c r="L148" s="367">
        <v>23.414000000000001</v>
      </c>
      <c r="M148" s="484">
        <v>88.936000000000007</v>
      </c>
      <c r="N148" s="484">
        <v>107.73</v>
      </c>
      <c r="O148" s="484">
        <v>0</v>
      </c>
      <c r="P148" s="484">
        <v>1.43E-2</v>
      </c>
      <c r="Q148" s="485">
        <v>7.3499999999999996E-2</v>
      </c>
      <c r="R148" s="370">
        <v>1130</v>
      </c>
      <c r="S148" s="371"/>
      <c r="T148" s="372"/>
      <c r="U148" s="506">
        <v>164312</v>
      </c>
      <c r="V148" s="371"/>
      <c r="W148" s="371"/>
      <c r="X148" s="474">
        <v>813.9</v>
      </c>
      <c r="Y148" s="474">
        <v>594.9</v>
      </c>
      <c r="Z148" s="374"/>
    </row>
    <row r="149" spans="1:26">
      <c r="A149" s="360">
        <v>45076</v>
      </c>
      <c r="B149" s="361">
        <f t="shared" si="5"/>
        <v>0.70763888888888893</v>
      </c>
      <c r="C149" s="361" t="s">
        <v>43</v>
      </c>
      <c r="D149" s="362" t="s">
        <v>90</v>
      </c>
      <c r="E149" s="361"/>
      <c r="F149" s="535" t="str">
        <f t="shared" si="6"/>
        <v>sMATF mirror</v>
      </c>
      <c r="G149" s="461">
        <v>20.9817</v>
      </c>
      <c r="H149" s="461">
        <v>23.1325</v>
      </c>
      <c r="I149" s="546">
        <v>20.668900000000001</v>
      </c>
      <c r="J149" s="462">
        <v>24.267900000000001</v>
      </c>
      <c r="K149" s="366">
        <v>24.437000000000001</v>
      </c>
      <c r="L149" s="367">
        <v>23.414000000000001</v>
      </c>
      <c r="M149" s="368">
        <v>-2147.4839999999999</v>
      </c>
      <c r="N149" s="368">
        <v>-65</v>
      </c>
      <c r="O149" s="368">
        <v>-60.003999999999998</v>
      </c>
      <c r="P149" s="368">
        <v>0</v>
      </c>
      <c r="Q149" s="369">
        <v>0</v>
      </c>
      <c r="R149" s="371" t="s">
        <v>68</v>
      </c>
      <c r="S149" s="371">
        <v>13</v>
      </c>
      <c r="T149" s="372">
        <v>4.0214679999999996</v>
      </c>
      <c r="U149" s="506">
        <v>165927</v>
      </c>
      <c r="V149" s="371">
        <v>-1.3599999999999999E-2</v>
      </c>
      <c r="W149" s="371">
        <v>6.0000000000000001E-3</v>
      </c>
      <c r="X149" s="489">
        <f>X148-X$126</f>
        <v>0.12000000000000455</v>
      </c>
      <c r="Y149" s="489">
        <f>Y148-Y$126</f>
        <v>-1.7000000000000455</v>
      </c>
      <c r="Z149" s="374" t="s">
        <v>96</v>
      </c>
    </row>
    <row r="150" spans="1:26">
      <c r="A150" s="360">
        <v>45076</v>
      </c>
      <c r="B150" s="361">
        <f t="shared" si="5"/>
        <v>0.7104166666666667</v>
      </c>
      <c r="C150" s="361" t="s">
        <v>43</v>
      </c>
      <c r="D150" s="362" t="s">
        <v>90</v>
      </c>
      <c r="E150" s="361"/>
      <c r="F150" s="535" t="str">
        <f t="shared" si="6"/>
        <v>sMATF LED pri</v>
      </c>
      <c r="G150" s="461">
        <v>20.9817</v>
      </c>
      <c r="H150" s="461">
        <v>23.1325</v>
      </c>
      <c r="I150" s="546">
        <v>20.668900000000001</v>
      </c>
      <c r="J150" s="462">
        <v>24.267900000000001</v>
      </c>
      <c r="K150" s="366">
        <v>24.437000000000001</v>
      </c>
      <c r="L150" s="367">
        <v>23.414000000000001</v>
      </c>
      <c r="M150" s="368">
        <v>-2147.4839999999999</v>
      </c>
      <c r="N150" s="368">
        <v>-65</v>
      </c>
      <c r="O150" s="368">
        <v>-60.003999999999998</v>
      </c>
      <c r="P150" s="368">
        <v>0</v>
      </c>
      <c r="Q150" s="369">
        <v>0</v>
      </c>
      <c r="R150" s="371" t="s">
        <v>82</v>
      </c>
      <c r="S150" s="371"/>
      <c r="T150" s="372"/>
      <c r="U150" s="506">
        <v>170328</v>
      </c>
      <c r="V150" s="371"/>
      <c r="W150" s="371"/>
      <c r="X150" s="412">
        <v>814.9</v>
      </c>
      <c r="Y150" s="412">
        <v>593.1</v>
      </c>
      <c r="Z150" s="374" t="s">
        <v>97</v>
      </c>
    </row>
    <row r="151" spans="1:26">
      <c r="A151" s="360">
        <v>45076</v>
      </c>
      <c r="B151" s="361">
        <v>0.71388888888888891</v>
      </c>
      <c r="C151" s="361" t="s">
        <v>43</v>
      </c>
      <c r="D151" s="362" t="s">
        <v>90</v>
      </c>
      <c r="E151" s="361"/>
      <c r="F151" s="535" t="s">
        <v>27</v>
      </c>
      <c r="G151" s="461">
        <v>20.9817</v>
      </c>
      <c r="H151" s="461">
        <v>23.1325</v>
      </c>
      <c r="I151" s="546">
        <v>20.668900000000001</v>
      </c>
      <c r="J151" s="462">
        <v>24.267900000000001</v>
      </c>
      <c r="K151" s="366">
        <v>24.12</v>
      </c>
      <c r="L151" s="468">
        <v>23.72</v>
      </c>
      <c r="M151" s="368">
        <v>-2147.4839999999999</v>
      </c>
      <c r="N151" s="368">
        <v>-65</v>
      </c>
      <c r="O151" s="368">
        <v>-60.003999999999998</v>
      </c>
      <c r="P151" s="368">
        <v>0</v>
      </c>
      <c r="Q151" s="369">
        <v>0</v>
      </c>
      <c r="R151" s="371"/>
      <c r="S151" s="371">
        <v>19</v>
      </c>
      <c r="T151" s="372">
        <v>4.0320150000000003</v>
      </c>
      <c r="U151" s="506"/>
      <c r="V151" s="371"/>
      <c r="W151" s="371"/>
      <c r="X151" s="491">
        <f>X150-X$129</f>
        <v>0.19999999999993179</v>
      </c>
      <c r="Y151" s="491">
        <f>Y150-Y$129</f>
        <v>-1.5</v>
      </c>
      <c r="Z151" s="374"/>
    </row>
    <row r="152" spans="1:26" s="329" customFormat="1" ht="16.149999999999999" thickBot="1">
      <c r="A152" s="434">
        <v>45076</v>
      </c>
      <c r="B152" s="435">
        <v>0.71527777777777779</v>
      </c>
      <c r="C152" s="435" t="s">
        <v>43</v>
      </c>
      <c r="D152" s="436" t="s">
        <v>90</v>
      </c>
      <c r="E152" s="435"/>
      <c r="F152" s="541" t="s">
        <v>28</v>
      </c>
      <c r="G152" s="464">
        <v>20.9817</v>
      </c>
      <c r="H152" s="464">
        <v>23.1325</v>
      </c>
      <c r="I152" s="549">
        <v>20.668900000000001</v>
      </c>
      <c r="J152" s="465">
        <v>24.267900000000001</v>
      </c>
      <c r="K152" s="421">
        <v>24.63</v>
      </c>
      <c r="L152" s="466">
        <v>23.18</v>
      </c>
      <c r="M152" s="423">
        <v>-2147.4839999999999</v>
      </c>
      <c r="N152" s="423">
        <v>-65</v>
      </c>
      <c r="O152" s="423">
        <v>-60.003999999999998</v>
      </c>
      <c r="P152" s="423">
        <v>0</v>
      </c>
      <c r="Q152" s="424">
        <v>0</v>
      </c>
      <c r="R152" s="425"/>
      <c r="S152" s="425">
        <v>11</v>
      </c>
      <c r="T152" s="426">
        <v>4.7630800000000004</v>
      </c>
      <c r="U152" s="509"/>
      <c r="V152" s="425"/>
      <c r="W152" s="425"/>
      <c r="X152" s="427"/>
      <c r="Y152" s="427"/>
      <c r="Z152" s="428"/>
    </row>
    <row r="153" spans="1:26" ht="29.25" customHeight="1">
      <c r="A153" s="360">
        <v>45077</v>
      </c>
      <c r="B153" s="361">
        <v>0.50694444444444442</v>
      </c>
      <c r="C153" s="361" t="s">
        <v>43</v>
      </c>
      <c r="D153" s="362" t="s">
        <v>98</v>
      </c>
      <c r="E153" s="361"/>
      <c r="F153" s="535"/>
      <c r="G153" s="363">
        <v>20.312000000000001</v>
      </c>
      <c r="H153" s="363">
        <v>23.7254</v>
      </c>
      <c r="I153" s="365">
        <v>21.523599999999998</v>
      </c>
      <c r="J153" s="364">
        <v>23.6494</v>
      </c>
      <c r="K153" s="363">
        <v>24.44</v>
      </c>
      <c r="L153" s="494">
        <v>23.42</v>
      </c>
      <c r="M153" s="368"/>
      <c r="N153" s="368"/>
      <c r="O153" s="368"/>
      <c r="P153" s="368"/>
      <c r="Q153" s="369"/>
      <c r="R153" s="371"/>
      <c r="S153" s="371"/>
      <c r="T153" s="372"/>
      <c r="U153" s="506"/>
      <c r="V153" s="371"/>
      <c r="W153" s="371"/>
      <c r="X153" s="373"/>
      <c r="Y153" s="373"/>
      <c r="Z153" s="495" t="s">
        <v>99</v>
      </c>
    </row>
    <row r="154" spans="1:26">
      <c r="A154" s="360">
        <v>45077</v>
      </c>
      <c r="B154" s="361">
        <f t="shared" ref="B154:B187" si="7">IF(U154&lt;&gt;0,TIMEVALUE(LEFT(U154,2)&amp;":"&amp;MID(U154,3,2)),"")</f>
        <v>0.87013888888888891</v>
      </c>
      <c r="C154" s="361" t="s">
        <v>43</v>
      </c>
      <c r="D154" s="362" t="s">
        <v>98</v>
      </c>
      <c r="E154" s="361"/>
      <c r="F154" s="535" t="s">
        <v>25</v>
      </c>
      <c r="G154" s="363">
        <v>20.985800000000001</v>
      </c>
      <c r="H154" s="363">
        <v>23.135100000000001</v>
      </c>
      <c r="I154" s="546">
        <v>20.668900000000001</v>
      </c>
      <c r="J154" s="462">
        <v>24.267900000000001</v>
      </c>
      <c r="K154" s="366">
        <v>24.437000000000001</v>
      </c>
      <c r="L154" s="367">
        <v>23.414000000000001</v>
      </c>
      <c r="M154" s="368">
        <v>-2147.4839999999999</v>
      </c>
      <c r="N154" s="368">
        <v>-65</v>
      </c>
      <c r="O154" s="368">
        <v>-60.003999999999998</v>
      </c>
      <c r="P154" s="368">
        <v>0</v>
      </c>
      <c r="Q154" s="369">
        <v>0</v>
      </c>
      <c r="R154" s="371" t="s">
        <v>68</v>
      </c>
      <c r="S154" s="371">
        <v>11</v>
      </c>
      <c r="T154" s="372">
        <v>4.0214619999999996</v>
      </c>
      <c r="U154" s="506">
        <v>205349</v>
      </c>
      <c r="V154" s="371">
        <v>-1.3600000000000001E-3</v>
      </c>
      <c r="W154" s="371">
        <v>5.3E-3</v>
      </c>
      <c r="X154" s="373"/>
      <c r="Y154" s="373"/>
      <c r="Z154" s="496"/>
    </row>
    <row r="155" spans="1:26">
      <c r="A155" s="360">
        <v>45077</v>
      </c>
      <c r="B155" s="361">
        <f t="shared" si="7"/>
        <v>0.86805555555555547</v>
      </c>
      <c r="C155" s="361" t="s">
        <v>43</v>
      </c>
      <c r="D155" s="362" t="s">
        <v>98</v>
      </c>
      <c r="E155" s="361"/>
      <c r="F155" s="535" t="s">
        <v>26</v>
      </c>
      <c r="G155" s="363">
        <v>20.985800000000001</v>
      </c>
      <c r="H155" s="363">
        <v>23.135100000000001</v>
      </c>
      <c r="I155" s="546">
        <v>20.668900000000001</v>
      </c>
      <c r="J155" s="462">
        <v>24.267900000000001</v>
      </c>
      <c r="K155" s="366">
        <v>24.437000000000001</v>
      </c>
      <c r="L155" s="367">
        <v>23.414000000000001</v>
      </c>
      <c r="M155" s="368"/>
      <c r="N155" s="368"/>
      <c r="O155" s="368"/>
      <c r="P155" s="368"/>
      <c r="Q155" s="369"/>
      <c r="R155" s="371" t="s">
        <v>82</v>
      </c>
      <c r="S155" s="371"/>
      <c r="T155" s="372"/>
      <c r="U155" s="506">
        <v>205034</v>
      </c>
      <c r="V155" s="371"/>
      <c r="W155" s="371"/>
      <c r="X155" s="373">
        <v>814.7</v>
      </c>
      <c r="Y155" s="373">
        <v>592.9</v>
      </c>
      <c r="Z155" s="374"/>
    </row>
    <row r="156" spans="1:26">
      <c r="A156" s="360">
        <v>45077</v>
      </c>
      <c r="B156" s="361">
        <f t="shared" si="7"/>
        <v>0.88124999999999998</v>
      </c>
      <c r="C156" s="361" t="s">
        <v>43</v>
      </c>
      <c r="D156" s="362" t="s">
        <v>98</v>
      </c>
      <c r="E156" s="361"/>
      <c r="F156" s="535" t="str">
        <f t="shared" ref="F156:F163" si="8">F154</f>
        <v>sMATF mirror</v>
      </c>
      <c r="G156" s="363">
        <v>20.991499999999998</v>
      </c>
      <c r="H156" s="363">
        <v>23.1675</v>
      </c>
      <c r="I156" s="365">
        <v>20.7163</v>
      </c>
      <c r="J156" s="364">
        <v>24.275099999999998</v>
      </c>
      <c r="K156" s="366">
        <v>24.437000000000001</v>
      </c>
      <c r="L156" s="367">
        <v>23.414000000000001</v>
      </c>
      <c r="M156" s="368"/>
      <c r="N156" s="368"/>
      <c r="O156" s="368"/>
      <c r="P156" s="368"/>
      <c r="Q156" s="369"/>
      <c r="R156" s="371" t="str">
        <f t="shared" ref="R156:R163" si="9">R154</f>
        <v>0,20</v>
      </c>
      <c r="S156" s="371"/>
      <c r="T156" s="372"/>
      <c r="U156" s="506">
        <v>210941</v>
      </c>
      <c r="V156" s="371">
        <v>-1.47E-2</v>
      </c>
      <c r="W156" s="371">
        <v>3.5000000000000001E-3</v>
      </c>
      <c r="X156" s="373"/>
      <c r="Y156" s="373"/>
      <c r="Z156" s="374"/>
    </row>
    <row r="157" spans="1:26">
      <c r="A157" s="360">
        <v>45077</v>
      </c>
      <c r="B157" s="361">
        <f t="shared" si="7"/>
        <v>0.83472222222222225</v>
      </c>
      <c r="C157" s="361" t="s">
        <v>43</v>
      </c>
      <c r="D157" s="362" t="s">
        <v>98</v>
      </c>
      <c r="E157" s="361"/>
      <c r="F157" s="535" t="str">
        <f t="shared" si="8"/>
        <v>sMATF LED pri</v>
      </c>
      <c r="G157" s="363">
        <v>20.973199999999999</v>
      </c>
      <c r="H157" s="363">
        <v>23.1265</v>
      </c>
      <c r="I157" s="365">
        <v>20.7163</v>
      </c>
      <c r="J157" s="364">
        <v>24.275099999999998</v>
      </c>
      <c r="K157" s="366">
        <v>24.437000000000001</v>
      </c>
      <c r="L157" s="367">
        <v>23.414000000000001</v>
      </c>
      <c r="M157" s="368"/>
      <c r="N157" s="368"/>
      <c r="O157" s="368"/>
      <c r="P157" s="368"/>
      <c r="Q157" s="369"/>
      <c r="R157" s="371" t="str">
        <f t="shared" si="9"/>
        <v>1,76</v>
      </c>
      <c r="S157" s="371"/>
      <c r="T157" s="372"/>
      <c r="U157" s="506">
        <v>200249</v>
      </c>
      <c r="V157" s="371"/>
      <c r="W157" s="371"/>
      <c r="X157" s="373">
        <v>814.6</v>
      </c>
      <c r="Y157" s="373">
        <v>592.66</v>
      </c>
      <c r="Z157" s="374"/>
    </row>
    <row r="158" spans="1:26">
      <c r="A158" s="360">
        <v>45077</v>
      </c>
      <c r="B158" s="361">
        <f t="shared" si="7"/>
        <v>0.88750000000000007</v>
      </c>
      <c r="C158" s="361" t="s">
        <v>43</v>
      </c>
      <c r="D158" s="362" t="s">
        <v>98</v>
      </c>
      <c r="E158" s="361"/>
      <c r="F158" s="535" t="str">
        <f t="shared" si="8"/>
        <v>sMATF mirror</v>
      </c>
      <c r="G158" s="363">
        <v>21.075900000000001</v>
      </c>
      <c r="H158" s="363">
        <v>23.1874</v>
      </c>
      <c r="I158" s="365">
        <v>20.747599999999998</v>
      </c>
      <c r="J158" s="364">
        <v>24.353000000000002</v>
      </c>
      <c r="K158" s="366">
        <v>24.437000000000001</v>
      </c>
      <c r="L158" s="367">
        <v>23.414000000000001</v>
      </c>
      <c r="M158" s="368"/>
      <c r="N158" s="368"/>
      <c r="O158" s="368"/>
      <c r="P158" s="368"/>
      <c r="Q158" s="369"/>
      <c r="R158" s="371" t="str">
        <f t="shared" si="9"/>
        <v>0,20</v>
      </c>
      <c r="S158" s="371"/>
      <c r="T158" s="372"/>
      <c r="U158" s="506">
        <v>211849</v>
      </c>
      <c r="V158" s="371">
        <v>-4.8999999999999998E-3</v>
      </c>
      <c r="W158" s="371">
        <v>8.0000000000000004E-4</v>
      </c>
      <c r="X158" s="373"/>
      <c r="Y158" s="373"/>
      <c r="Z158" s="374"/>
    </row>
    <row r="159" spans="1:26">
      <c r="A159" s="360">
        <v>45077</v>
      </c>
      <c r="B159" s="361">
        <f t="shared" si="7"/>
        <v>0.88611111111111107</v>
      </c>
      <c r="C159" s="361" t="s">
        <v>43</v>
      </c>
      <c r="D159" s="362" t="s">
        <v>98</v>
      </c>
      <c r="E159" s="361"/>
      <c r="F159" s="535" t="str">
        <f t="shared" si="8"/>
        <v>sMATF LED pri</v>
      </c>
      <c r="G159" s="363">
        <v>20.991499999999998</v>
      </c>
      <c r="H159" s="363">
        <v>23.1675</v>
      </c>
      <c r="I159" s="365">
        <v>20.747599999999998</v>
      </c>
      <c r="J159" s="364">
        <v>24.353000000000002</v>
      </c>
      <c r="K159" s="366">
        <v>24.437000000000001</v>
      </c>
      <c r="L159" s="367">
        <v>23.414000000000001</v>
      </c>
      <c r="M159" s="368"/>
      <c r="N159" s="368"/>
      <c r="O159" s="368"/>
      <c r="P159" s="368"/>
      <c r="Q159" s="369"/>
      <c r="R159" s="371" t="str">
        <f t="shared" si="9"/>
        <v>1,76</v>
      </c>
      <c r="S159" s="371"/>
      <c r="T159" s="372"/>
      <c r="U159" s="506">
        <v>211651</v>
      </c>
      <c r="V159" s="371"/>
      <c r="W159" s="371"/>
      <c r="X159" s="373">
        <v>814.6</v>
      </c>
      <c r="Y159" s="373">
        <v>592.96</v>
      </c>
      <c r="Z159" s="374"/>
    </row>
    <row r="160" spans="1:26">
      <c r="A160" s="360">
        <v>45077</v>
      </c>
      <c r="B160" s="361">
        <f t="shared" si="7"/>
        <v>0.89722222222222225</v>
      </c>
      <c r="C160" s="361" t="s">
        <v>43</v>
      </c>
      <c r="D160" s="362" t="s">
        <v>98</v>
      </c>
      <c r="E160" s="361"/>
      <c r="F160" s="535" t="str">
        <f t="shared" si="8"/>
        <v>sMATF mirror</v>
      </c>
      <c r="G160" s="363">
        <v>21.103999999999999</v>
      </c>
      <c r="H160" s="363">
        <v>23.192599999999999</v>
      </c>
      <c r="I160" s="365">
        <v>20.754799999999999</v>
      </c>
      <c r="J160" s="364">
        <v>24.379000000000001</v>
      </c>
      <c r="K160" s="366">
        <v>24.437000000000001</v>
      </c>
      <c r="L160" s="367">
        <v>23.414000000000001</v>
      </c>
      <c r="M160" s="368"/>
      <c r="N160" s="368"/>
      <c r="O160" s="368"/>
      <c r="P160" s="368"/>
      <c r="Q160" s="369"/>
      <c r="R160" s="371" t="str">
        <f t="shared" si="9"/>
        <v>0,20</v>
      </c>
      <c r="S160" s="371"/>
      <c r="T160" s="372"/>
      <c r="U160" s="506">
        <v>213244</v>
      </c>
      <c r="V160" s="371">
        <v>-4.1999999999999997E-3</v>
      </c>
      <c r="W160" s="371">
        <v>8.0000000000000004E-4</v>
      </c>
      <c r="X160" s="373"/>
      <c r="Y160" s="373"/>
      <c r="Z160" s="374"/>
    </row>
    <row r="161" spans="1:26" s="329" customFormat="1" ht="16.149999999999999" thickBot="1">
      <c r="A161" s="434">
        <v>45077</v>
      </c>
      <c r="B161" s="435">
        <f t="shared" si="7"/>
        <v>0.8965277777777777</v>
      </c>
      <c r="C161" s="435" t="s">
        <v>43</v>
      </c>
      <c r="D161" s="436" t="s">
        <v>98</v>
      </c>
      <c r="E161" s="435"/>
      <c r="F161" s="541" t="str">
        <f t="shared" si="8"/>
        <v>sMATF LED pri</v>
      </c>
      <c r="G161" s="418">
        <v>21.075900000000001</v>
      </c>
      <c r="H161" s="418">
        <v>23.1874</v>
      </c>
      <c r="I161" s="420">
        <v>20.754799999999999</v>
      </c>
      <c r="J161" s="419">
        <v>24.379000000000001</v>
      </c>
      <c r="K161" s="421">
        <v>24.437000000000001</v>
      </c>
      <c r="L161" s="422">
        <v>23.414000000000001</v>
      </c>
      <c r="M161" s="423"/>
      <c r="N161" s="423"/>
      <c r="O161" s="423"/>
      <c r="P161" s="423"/>
      <c r="Q161" s="424"/>
      <c r="R161" s="425" t="str">
        <f t="shared" si="9"/>
        <v>1,76</v>
      </c>
      <c r="S161" s="425"/>
      <c r="T161" s="426"/>
      <c r="U161" s="509">
        <v>213101</v>
      </c>
      <c r="V161" s="425"/>
      <c r="W161" s="425"/>
      <c r="X161" s="427">
        <v>814.07</v>
      </c>
      <c r="Y161" s="427">
        <v>592.9</v>
      </c>
      <c r="Z161" s="428"/>
    </row>
    <row r="162" spans="1:26">
      <c r="A162" s="360">
        <v>45078</v>
      </c>
      <c r="B162" s="361">
        <f t="shared" si="7"/>
        <v>0.38541666666666669</v>
      </c>
      <c r="C162" s="361" t="s">
        <v>43</v>
      </c>
      <c r="D162" s="362" t="s">
        <v>100</v>
      </c>
      <c r="E162" s="361"/>
      <c r="F162" s="535" t="str">
        <f t="shared" si="8"/>
        <v>sMATF mirror</v>
      </c>
      <c r="G162" s="363">
        <v>21.103999999999999</v>
      </c>
      <c r="H162" s="363">
        <v>23.192599999999999</v>
      </c>
      <c r="I162" s="365">
        <v>20.754799999999999</v>
      </c>
      <c r="J162" s="364">
        <v>24.379000000000001</v>
      </c>
      <c r="K162" s="366">
        <v>24.437000000000001</v>
      </c>
      <c r="L162" s="367">
        <v>23.414000000000001</v>
      </c>
      <c r="M162" s="368"/>
      <c r="N162" s="368"/>
      <c r="O162" s="368"/>
      <c r="P162" s="368"/>
      <c r="Q162" s="369"/>
      <c r="R162" s="371" t="str">
        <f t="shared" si="9"/>
        <v>0,20</v>
      </c>
      <c r="S162" s="371" t="s">
        <v>101</v>
      </c>
      <c r="T162" s="372"/>
      <c r="U162" s="506" t="s">
        <v>102</v>
      </c>
      <c r="V162" s="371">
        <v>-6.3E-3</v>
      </c>
      <c r="W162" s="371">
        <v>6.0000000000000001E-3</v>
      </c>
      <c r="X162" s="373"/>
      <c r="Y162" s="373"/>
      <c r="Z162" s="374" t="s">
        <v>103</v>
      </c>
    </row>
    <row r="163" spans="1:26">
      <c r="A163" s="360">
        <v>45078</v>
      </c>
      <c r="B163" s="361">
        <f t="shared" si="7"/>
        <v>0.375</v>
      </c>
      <c r="C163" s="361" t="s">
        <v>43</v>
      </c>
      <c r="D163" s="362" t="s">
        <v>100</v>
      </c>
      <c r="E163" s="361"/>
      <c r="F163" s="535" t="str">
        <f t="shared" si="8"/>
        <v>sMATF LED pri</v>
      </c>
      <c r="G163" s="363">
        <v>21.103999999999999</v>
      </c>
      <c r="H163" s="363">
        <v>23.192599999999999</v>
      </c>
      <c r="I163" s="365">
        <v>20.754799999999999</v>
      </c>
      <c r="J163" s="364">
        <v>24.379000000000001</v>
      </c>
      <c r="K163" s="366">
        <v>24.437000000000001</v>
      </c>
      <c r="L163" s="367">
        <v>23.414000000000001</v>
      </c>
      <c r="M163" s="368">
        <v>-2147.4839999999999</v>
      </c>
      <c r="N163" s="368">
        <v>-65</v>
      </c>
      <c r="O163" s="368">
        <v>-60.003999999999998</v>
      </c>
      <c r="P163" s="368">
        <v>0</v>
      </c>
      <c r="Q163" s="369">
        <v>0</v>
      </c>
      <c r="R163" s="371" t="str">
        <f t="shared" si="9"/>
        <v>1,76</v>
      </c>
      <c r="S163" s="371"/>
      <c r="T163" s="372"/>
      <c r="U163" s="506" t="s">
        <v>104</v>
      </c>
      <c r="V163" s="371"/>
      <c r="W163" s="371"/>
      <c r="X163" s="373">
        <v>820.78</v>
      </c>
      <c r="Y163" s="373">
        <v>588.596</v>
      </c>
      <c r="Z163" s="374" t="s">
        <v>105</v>
      </c>
    </row>
    <row r="164" spans="1:26">
      <c r="A164" s="360">
        <v>45078</v>
      </c>
      <c r="B164" s="361">
        <f t="shared" si="7"/>
        <v>0.40833333333333338</v>
      </c>
      <c r="C164" s="361" t="s">
        <v>43</v>
      </c>
      <c r="D164" s="362" t="s">
        <v>100</v>
      </c>
      <c r="E164" s="361"/>
      <c r="F164" s="535" t="str">
        <f>F163</f>
        <v>sMATF LED pri</v>
      </c>
      <c r="G164" s="363">
        <v>21.171800000000001</v>
      </c>
      <c r="H164" s="363">
        <v>23.2484</v>
      </c>
      <c r="I164" s="365">
        <v>20.851500000000001</v>
      </c>
      <c r="J164" s="364">
        <v>24.4391</v>
      </c>
      <c r="K164" s="366">
        <v>24.437000000000001</v>
      </c>
      <c r="L164" s="367">
        <v>23.414000000000001</v>
      </c>
      <c r="M164" s="368"/>
      <c r="N164" s="368"/>
      <c r="O164" s="368"/>
      <c r="P164" s="368"/>
      <c r="Q164" s="369"/>
      <c r="R164" s="371" t="s">
        <v>82</v>
      </c>
      <c r="S164" s="371"/>
      <c r="T164" s="372"/>
      <c r="U164" s="506" t="s">
        <v>106</v>
      </c>
      <c r="V164" s="371"/>
      <c r="W164" s="371"/>
      <c r="X164" s="373">
        <v>814.05</v>
      </c>
      <c r="Y164" s="373">
        <v>593.88</v>
      </c>
      <c r="Z164" s="503" t="s">
        <v>107</v>
      </c>
    </row>
    <row r="165" spans="1:26">
      <c r="A165" s="360">
        <v>45078</v>
      </c>
      <c r="B165" s="361">
        <f t="shared" si="7"/>
        <v>0.41111111111111115</v>
      </c>
      <c r="C165" s="361" t="s">
        <v>43</v>
      </c>
      <c r="D165" s="362" t="s">
        <v>100</v>
      </c>
      <c r="E165" s="361"/>
      <c r="F165" s="535" t="s">
        <v>25</v>
      </c>
      <c r="G165" s="363">
        <v>21.171800000000001</v>
      </c>
      <c r="H165" s="363">
        <v>23.2484</v>
      </c>
      <c r="I165" s="365">
        <v>20.851500000000001</v>
      </c>
      <c r="J165" s="364">
        <v>24.4391</v>
      </c>
      <c r="K165" s="366">
        <v>24.437000000000001</v>
      </c>
      <c r="L165" s="367">
        <v>23.414000000000001</v>
      </c>
      <c r="M165" s="368"/>
      <c r="N165" s="368"/>
      <c r="O165" s="368"/>
      <c r="P165" s="368"/>
      <c r="Q165" s="369"/>
      <c r="R165" s="371" t="s">
        <v>68</v>
      </c>
      <c r="S165" s="371"/>
      <c r="T165" s="372"/>
      <c r="U165" s="506" t="s">
        <v>108</v>
      </c>
      <c r="V165" s="371">
        <v>1.2999999999999999E-3</v>
      </c>
      <c r="W165" s="371">
        <v>-3.0999999999999999E-3</v>
      </c>
      <c r="X165" s="373"/>
      <c r="Y165" s="373"/>
      <c r="Z165" s="374"/>
    </row>
    <row r="166" spans="1:26">
      <c r="A166" s="360">
        <v>45078</v>
      </c>
      <c r="B166" s="361">
        <f t="shared" si="7"/>
        <v>0.4368055555555555</v>
      </c>
      <c r="C166" s="361" t="s">
        <v>43</v>
      </c>
      <c r="D166" s="362" t="s">
        <v>100</v>
      </c>
      <c r="E166" s="361"/>
      <c r="F166" s="535" t="s">
        <v>26</v>
      </c>
      <c r="G166" s="363">
        <v>21.54</v>
      </c>
      <c r="H166" s="363">
        <v>23.209800000000001</v>
      </c>
      <c r="I166" s="365">
        <v>20.801600000000001</v>
      </c>
      <c r="J166" s="364">
        <v>24.4267</v>
      </c>
      <c r="K166" s="366">
        <v>24.437000000000001</v>
      </c>
      <c r="L166" s="367">
        <v>23.414000000000001</v>
      </c>
      <c r="M166" s="368"/>
      <c r="N166" s="368"/>
      <c r="O166" s="368"/>
      <c r="P166" s="368"/>
      <c r="Q166" s="369"/>
      <c r="R166" s="371" t="s">
        <v>82</v>
      </c>
      <c r="S166" s="371"/>
      <c r="T166" s="372"/>
      <c r="U166" s="506">
        <v>102915</v>
      </c>
      <c r="V166" s="371"/>
      <c r="W166" s="371"/>
      <c r="X166" s="373">
        <v>814.6</v>
      </c>
      <c r="Y166" s="373">
        <v>594.6</v>
      </c>
      <c r="Z166" s="374"/>
    </row>
    <row r="167" spans="1:26">
      <c r="A167" s="360">
        <v>45078</v>
      </c>
      <c r="B167" s="361">
        <f t="shared" si="7"/>
        <v>0.4381944444444445</v>
      </c>
      <c r="C167" s="361" t="s">
        <v>43</v>
      </c>
      <c r="D167" s="362" t="s">
        <v>100</v>
      </c>
      <c r="E167" s="361"/>
      <c r="F167" s="535" t="s">
        <v>25</v>
      </c>
      <c r="G167" s="363">
        <v>21.54</v>
      </c>
      <c r="H167" s="363">
        <v>23.209800000000001</v>
      </c>
      <c r="I167" s="365">
        <v>20.801600000000001</v>
      </c>
      <c r="J167" s="364">
        <v>24.4267</v>
      </c>
      <c r="K167" s="366">
        <v>24.437000000000001</v>
      </c>
      <c r="L167" s="367">
        <v>23.414000000000001</v>
      </c>
      <c r="M167" s="368"/>
      <c r="N167" s="368"/>
      <c r="O167" s="368"/>
      <c r="P167" s="368"/>
      <c r="Q167" s="369"/>
      <c r="R167" s="371" t="s">
        <v>68</v>
      </c>
      <c r="S167" s="371"/>
      <c r="T167" s="372"/>
      <c r="U167" s="506">
        <v>103138</v>
      </c>
      <c r="V167" s="371">
        <v>6.8999999999999999E-3</v>
      </c>
      <c r="W167" s="371">
        <v>-5.7999999999999996E-3</v>
      </c>
      <c r="X167" s="373"/>
      <c r="Y167" s="373"/>
      <c r="Z167" s="374"/>
    </row>
    <row r="168" spans="1:26">
      <c r="A168" s="360">
        <v>45078</v>
      </c>
      <c r="B168" s="361">
        <f t="shared" si="7"/>
        <v>0.4458333333333333</v>
      </c>
      <c r="C168" s="361" t="s">
        <v>43</v>
      </c>
      <c r="D168" s="362" t="s">
        <v>100</v>
      </c>
      <c r="E168" s="361"/>
      <c r="F168" s="535" t="s">
        <v>26</v>
      </c>
      <c r="G168" s="363">
        <v>21.12</v>
      </c>
      <c r="H168" s="363">
        <v>23.18</v>
      </c>
      <c r="I168" s="365">
        <v>20.749700000000001</v>
      </c>
      <c r="J168" s="364">
        <v>24.3901</v>
      </c>
      <c r="K168" s="366">
        <v>24.437000000000001</v>
      </c>
      <c r="L168" s="367">
        <v>23.414000000000001</v>
      </c>
      <c r="M168" s="368"/>
      <c r="N168" s="368"/>
      <c r="O168" s="368"/>
      <c r="P168" s="368"/>
      <c r="Q168" s="369"/>
      <c r="R168" s="371" t="s">
        <v>82</v>
      </c>
      <c r="S168" s="371"/>
      <c r="T168" s="372"/>
      <c r="U168" s="506">
        <v>104257</v>
      </c>
      <c r="V168" s="371"/>
      <c r="W168" s="371"/>
      <c r="X168" s="373">
        <v>814.15</v>
      </c>
      <c r="Y168" s="373">
        <v>594.5</v>
      </c>
      <c r="Z168" s="374"/>
    </row>
    <row r="169" spans="1:26">
      <c r="A169" s="360">
        <v>45078</v>
      </c>
      <c r="B169" s="361">
        <f t="shared" si="7"/>
        <v>0.44791666666666669</v>
      </c>
      <c r="C169" s="361" t="s">
        <v>43</v>
      </c>
      <c r="D169" s="362" t="s">
        <v>100</v>
      </c>
      <c r="E169" s="361"/>
      <c r="F169" s="535" t="s">
        <v>25</v>
      </c>
      <c r="G169" s="363">
        <v>21.12</v>
      </c>
      <c r="H169" s="363">
        <v>23.18</v>
      </c>
      <c r="I169" s="365">
        <v>20.749700000000001</v>
      </c>
      <c r="J169" s="364">
        <v>24.3901</v>
      </c>
      <c r="K169" s="366">
        <v>24.437000000000001</v>
      </c>
      <c r="L169" s="367">
        <v>23.414000000000001</v>
      </c>
      <c r="M169" s="368"/>
      <c r="N169" s="368"/>
      <c r="O169" s="368"/>
      <c r="P169" s="368"/>
      <c r="Q169" s="369"/>
      <c r="R169" s="371" t="s">
        <v>68</v>
      </c>
      <c r="S169" s="371"/>
      <c r="T169" s="372"/>
      <c r="U169" s="506">
        <v>104529</v>
      </c>
      <c r="V169" s="371">
        <v>-8.0000000000000004E-4</v>
      </c>
      <c r="W169" s="371">
        <v>8.0000000000000004E-4</v>
      </c>
      <c r="X169" s="373"/>
      <c r="Y169" s="373"/>
      <c r="Z169" s="374"/>
    </row>
    <row r="170" spans="1:26" s="329" customFormat="1" ht="16.149999999999999" thickBot="1">
      <c r="A170" s="434">
        <v>45078</v>
      </c>
      <c r="B170" s="435">
        <f t="shared" si="7"/>
        <v>0.4513888888888889</v>
      </c>
      <c r="C170" s="435" t="s">
        <v>43</v>
      </c>
      <c r="D170" s="436" t="s">
        <v>100</v>
      </c>
      <c r="E170" s="324"/>
      <c r="F170" s="541" t="s">
        <v>26</v>
      </c>
      <c r="G170" s="418">
        <v>21.12</v>
      </c>
      <c r="H170" s="418">
        <v>23.18</v>
      </c>
      <c r="I170" s="420">
        <v>20.749700000000001</v>
      </c>
      <c r="J170" s="419">
        <v>24.3901</v>
      </c>
      <c r="K170" s="421">
        <v>24.437000000000001</v>
      </c>
      <c r="L170" s="422">
        <v>23.414000000000001</v>
      </c>
      <c r="M170" s="327"/>
      <c r="N170" s="327"/>
      <c r="O170" s="327"/>
      <c r="P170" s="327"/>
      <c r="Q170" s="328"/>
      <c r="R170" s="425" t="s">
        <v>82</v>
      </c>
      <c r="T170" s="340"/>
      <c r="U170" s="511">
        <v>105020</v>
      </c>
      <c r="X170" s="330">
        <v>814.51</v>
      </c>
      <c r="Y170" s="330">
        <v>593.95000000000005</v>
      </c>
      <c r="Z170" s="334" t="s">
        <v>109</v>
      </c>
    </row>
    <row r="171" spans="1:26">
      <c r="A171" s="360">
        <v>45078</v>
      </c>
      <c r="B171" s="361">
        <f t="shared" si="7"/>
        <v>0.47013888888888888</v>
      </c>
      <c r="C171" s="361" t="s">
        <v>43</v>
      </c>
      <c r="D171" s="504" t="s">
        <v>110</v>
      </c>
      <c r="F171" s="535" t="s">
        <v>26</v>
      </c>
      <c r="G171" s="363">
        <v>21.113199999999999</v>
      </c>
      <c r="H171" s="363">
        <v>23.174800000000001</v>
      </c>
      <c r="I171" s="365">
        <v>20.749700000000001</v>
      </c>
      <c r="J171" s="364">
        <v>24.3901</v>
      </c>
      <c r="K171" s="366">
        <v>24.437000000000001</v>
      </c>
      <c r="L171" s="367">
        <v>23.414000000000001</v>
      </c>
      <c r="R171" s="371" t="s">
        <v>82</v>
      </c>
      <c r="U171" s="510" t="s">
        <v>111</v>
      </c>
      <c r="X171" s="322">
        <v>807.68</v>
      </c>
      <c r="Y171" s="322">
        <v>601.9</v>
      </c>
    </row>
    <row r="172" spans="1:26">
      <c r="A172" s="360">
        <v>45078</v>
      </c>
      <c r="B172" s="361">
        <f t="shared" si="7"/>
        <v>0.47152777777777777</v>
      </c>
      <c r="C172" s="361" t="s">
        <v>43</v>
      </c>
      <c r="D172" s="362" t="s">
        <v>110</v>
      </c>
      <c r="F172" s="535" t="s">
        <v>25</v>
      </c>
      <c r="G172" s="363">
        <v>21.113199999999999</v>
      </c>
      <c r="H172" s="363">
        <v>23.174800000000001</v>
      </c>
      <c r="I172" s="365">
        <v>20.749700000000001</v>
      </c>
      <c r="J172" s="364">
        <v>24.3901</v>
      </c>
      <c r="K172" s="366">
        <v>24.437000000000001</v>
      </c>
      <c r="L172" s="367">
        <v>23.414000000000001</v>
      </c>
      <c r="M172" s="368">
        <v>-2147.4839999999999</v>
      </c>
      <c r="N172" s="368">
        <v>-65</v>
      </c>
      <c r="O172" s="368">
        <v>-60.003999999999998</v>
      </c>
      <c r="P172" s="368">
        <v>0</v>
      </c>
      <c r="Q172" s="369">
        <v>0</v>
      </c>
      <c r="R172" s="371" t="s">
        <v>68</v>
      </c>
      <c r="U172" s="510" t="s">
        <v>112</v>
      </c>
      <c r="V172" s="315">
        <v>8.9999999999999993E-3</v>
      </c>
      <c r="W172" s="315">
        <v>-7.6E-3</v>
      </c>
    </row>
    <row r="173" spans="1:26">
      <c r="A173" s="360">
        <v>45078</v>
      </c>
      <c r="B173" s="361">
        <f t="shared" si="7"/>
        <v>0.47152777777777777</v>
      </c>
      <c r="C173" s="361" t="s">
        <v>43</v>
      </c>
      <c r="D173" s="362" t="s">
        <v>110</v>
      </c>
      <c r="F173" s="535" t="s">
        <v>26</v>
      </c>
      <c r="G173" s="363">
        <v>21.063500000000001</v>
      </c>
      <c r="H173" s="363">
        <v>23.13</v>
      </c>
      <c r="I173" s="323">
        <v>20.681699999999999</v>
      </c>
      <c r="J173" s="319">
        <v>24.342400000000001</v>
      </c>
      <c r="K173" s="366">
        <v>24.437000000000001</v>
      </c>
      <c r="L173" s="367">
        <v>23.414000000000001</v>
      </c>
      <c r="R173" s="315" t="s">
        <v>82</v>
      </c>
      <c r="U173" s="510" t="s">
        <v>112</v>
      </c>
      <c r="X173" s="322">
        <v>807.77</v>
      </c>
      <c r="Y173" s="322">
        <v>602.5</v>
      </c>
    </row>
    <row r="174" spans="1:26">
      <c r="A174" s="360">
        <v>45078</v>
      </c>
      <c r="B174" s="361">
        <f t="shared" si="7"/>
        <v>0.46736111111111112</v>
      </c>
      <c r="C174" s="361" t="s">
        <v>43</v>
      </c>
      <c r="D174" s="362" t="s">
        <v>110</v>
      </c>
      <c r="F174" s="535" t="s">
        <v>25</v>
      </c>
      <c r="G174" s="363">
        <v>21.063500000000001</v>
      </c>
      <c r="H174" s="363">
        <v>23.13</v>
      </c>
      <c r="I174" s="323">
        <v>20.681699999999999</v>
      </c>
      <c r="J174" s="319">
        <v>24.342400000000001</v>
      </c>
      <c r="K174" s="366">
        <v>24.437000000000001</v>
      </c>
      <c r="L174" s="367">
        <v>23.414000000000001</v>
      </c>
      <c r="R174" s="315" t="s">
        <v>68</v>
      </c>
      <c r="U174" s="510" t="s">
        <v>113</v>
      </c>
      <c r="V174" s="315">
        <v>3.7000000000000002E-3</v>
      </c>
      <c r="W174" s="315">
        <v>-2E-3</v>
      </c>
      <c r="Z174" s="333" t="s">
        <v>114</v>
      </c>
    </row>
    <row r="175" spans="1:26">
      <c r="A175" s="360">
        <v>45078</v>
      </c>
      <c r="B175" s="361">
        <f t="shared" si="7"/>
        <v>0.4909722222222222</v>
      </c>
      <c r="C175" s="361" t="s">
        <v>43</v>
      </c>
      <c r="D175" s="362" t="s">
        <v>110</v>
      </c>
      <c r="F175" s="535" t="s">
        <v>26</v>
      </c>
      <c r="G175" s="363">
        <v>21.0627</v>
      </c>
      <c r="H175" s="363">
        <v>23.128799999999998</v>
      </c>
      <c r="I175" s="323">
        <v>20.681699999999999</v>
      </c>
      <c r="J175" s="319">
        <v>24.342400000000001</v>
      </c>
      <c r="K175" s="366">
        <v>24.437000000000001</v>
      </c>
      <c r="L175" s="367">
        <v>23.414000000000001</v>
      </c>
      <c r="R175" s="315" t="s">
        <v>82</v>
      </c>
      <c r="U175" s="510" t="s">
        <v>115</v>
      </c>
      <c r="X175" s="322">
        <v>807</v>
      </c>
      <c r="Y175" s="322">
        <v>602.4</v>
      </c>
      <c r="Z175" s="333" t="s">
        <v>116</v>
      </c>
    </row>
    <row r="176" spans="1:26">
      <c r="A176" s="360">
        <v>45078</v>
      </c>
      <c r="B176" s="361">
        <f t="shared" si="7"/>
        <v>0.49236111111111108</v>
      </c>
      <c r="C176" s="361" t="s">
        <v>43</v>
      </c>
      <c r="D176" s="362" t="s">
        <v>110</v>
      </c>
      <c r="F176" s="535" t="s">
        <v>25</v>
      </c>
      <c r="G176" s="363">
        <v>21.0627</v>
      </c>
      <c r="H176" s="363">
        <v>23.128799999999998</v>
      </c>
      <c r="I176" s="323">
        <v>20.681699999999999</v>
      </c>
      <c r="J176" s="319">
        <v>24.342400000000001</v>
      </c>
      <c r="K176" s="366">
        <v>24.437000000000001</v>
      </c>
      <c r="L176" s="367">
        <v>23.414000000000001</v>
      </c>
      <c r="R176" s="315" t="s">
        <v>68</v>
      </c>
      <c r="U176" s="510" t="s">
        <v>117</v>
      </c>
      <c r="V176" s="341">
        <v>4.1000000000000003E-3</v>
      </c>
      <c r="W176" s="341">
        <v>-3.7000000000000002E-3</v>
      </c>
      <c r="X176" s="342"/>
      <c r="Y176" s="342"/>
    </row>
    <row r="177" spans="1:26">
      <c r="A177" s="360">
        <v>45078</v>
      </c>
      <c r="B177" s="361">
        <f t="shared" si="7"/>
        <v>0.49305555555555558</v>
      </c>
      <c r="C177" s="361" t="s">
        <v>43</v>
      </c>
      <c r="D177" s="362" t="s">
        <v>110</v>
      </c>
      <c r="F177" s="535" t="s">
        <v>26</v>
      </c>
      <c r="G177" s="363">
        <v>21.0627</v>
      </c>
      <c r="H177" s="363">
        <v>23.128799999999998</v>
      </c>
      <c r="I177" s="323">
        <v>20.681699999999999</v>
      </c>
      <c r="J177" s="319">
        <v>24.342400000000001</v>
      </c>
      <c r="K177" s="366">
        <v>24.437000000000001</v>
      </c>
      <c r="L177" s="367">
        <v>23.414000000000001</v>
      </c>
      <c r="R177" s="315" t="s">
        <v>82</v>
      </c>
      <c r="U177" s="510" t="s">
        <v>118</v>
      </c>
      <c r="V177" s="341"/>
      <c r="W177" s="341"/>
      <c r="X177" s="342">
        <v>807.3</v>
      </c>
      <c r="Y177" s="342">
        <v>603.20000000000005</v>
      </c>
      <c r="Z177" s="333" t="s">
        <v>119</v>
      </c>
    </row>
    <row r="178" spans="1:26">
      <c r="A178" s="360">
        <v>45078</v>
      </c>
      <c r="B178" s="361">
        <f t="shared" si="7"/>
        <v>0.49374999999999997</v>
      </c>
      <c r="C178" s="361" t="s">
        <v>43</v>
      </c>
      <c r="D178" s="362" t="s">
        <v>120</v>
      </c>
      <c r="F178" s="535" t="s">
        <v>26</v>
      </c>
      <c r="G178" s="363">
        <v>21.0627</v>
      </c>
      <c r="H178" s="363">
        <v>23.128799999999998</v>
      </c>
      <c r="I178" s="323">
        <v>20.681699999999999</v>
      </c>
      <c r="J178" s="319">
        <v>24.342400000000001</v>
      </c>
      <c r="K178" s="366">
        <v>24.437000000000001</v>
      </c>
      <c r="L178" s="367">
        <v>23.414000000000001</v>
      </c>
      <c r="R178" s="315" t="s">
        <v>82</v>
      </c>
      <c r="U178" s="510" t="s">
        <v>121</v>
      </c>
      <c r="X178" s="322">
        <v>809.8</v>
      </c>
      <c r="Y178" s="322">
        <v>598.29999999999995</v>
      </c>
    </row>
    <row r="179" spans="1:26">
      <c r="A179" s="360">
        <v>45078</v>
      </c>
      <c r="B179" s="361">
        <f t="shared" si="7"/>
        <v>0.50694444444444442</v>
      </c>
      <c r="C179" s="361" t="s">
        <v>43</v>
      </c>
      <c r="D179" s="362" t="s">
        <v>120</v>
      </c>
      <c r="F179" s="535" t="s">
        <v>26</v>
      </c>
      <c r="G179" s="363">
        <v>21.0627</v>
      </c>
      <c r="H179" s="363">
        <v>23.128799999999998</v>
      </c>
      <c r="I179" s="323">
        <v>20.681699999999999</v>
      </c>
      <c r="J179" s="319">
        <v>24.342400000000001</v>
      </c>
      <c r="K179" s="366">
        <v>24.437000000000001</v>
      </c>
      <c r="L179" s="367">
        <v>23.414000000000001</v>
      </c>
      <c r="R179" s="315" t="s">
        <v>82</v>
      </c>
      <c r="U179" s="510" t="s">
        <v>122</v>
      </c>
      <c r="X179" s="322">
        <v>810.95</v>
      </c>
      <c r="Y179" s="322">
        <v>597.73</v>
      </c>
    </row>
    <row r="180" spans="1:26">
      <c r="A180" s="360">
        <v>45078</v>
      </c>
      <c r="B180" s="361">
        <f t="shared" si="7"/>
        <v>0.5083333333333333</v>
      </c>
      <c r="C180" s="361" t="s">
        <v>43</v>
      </c>
      <c r="D180" s="362" t="s">
        <v>120</v>
      </c>
      <c r="F180" s="542" t="s">
        <v>25</v>
      </c>
      <c r="G180" s="363">
        <v>21.0627</v>
      </c>
      <c r="H180" s="363">
        <v>23.128799999999998</v>
      </c>
      <c r="I180" s="323">
        <v>20.681699999999999</v>
      </c>
      <c r="J180" s="319">
        <v>24.342400000000001</v>
      </c>
      <c r="K180" s="366">
        <v>24.437000000000001</v>
      </c>
      <c r="L180" s="367">
        <v>23.414000000000001</v>
      </c>
      <c r="R180" s="315" t="s">
        <v>68</v>
      </c>
      <c r="U180" s="510" t="s">
        <v>123</v>
      </c>
      <c r="V180" s="315">
        <v>-1.5E-3</v>
      </c>
      <c r="W180" s="315">
        <v>2.5000000000000001E-3</v>
      </c>
    </row>
    <row r="181" spans="1:26">
      <c r="A181" s="360">
        <v>45078</v>
      </c>
      <c r="B181" s="361">
        <f t="shared" si="7"/>
        <v>0.5131944444444444</v>
      </c>
      <c r="C181" s="361" t="s">
        <v>43</v>
      </c>
      <c r="D181" s="362" t="s">
        <v>120</v>
      </c>
      <c r="F181" s="535" t="s">
        <v>26</v>
      </c>
      <c r="G181" s="363">
        <v>21.0627</v>
      </c>
      <c r="H181" s="363">
        <v>23.128799999999998</v>
      </c>
      <c r="I181" s="323">
        <v>20.681699999999999</v>
      </c>
      <c r="J181" s="319">
        <v>24.342400000000001</v>
      </c>
      <c r="K181" s="366">
        <v>24.437000000000001</v>
      </c>
      <c r="L181" s="367">
        <v>23.414000000000001</v>
      </c>
      <c r="R181" s="315" t="s">
        <v>82</v>
      </c>
      <c r="U181" s="510" t="s">
        <v>124</v>
      </c>
      <c r="X181" s="322">
        <v>812.6</v>
      </c>
      <c r="Y181" s="322">
        <v>598.16</v>
      </c>
    </row>
    <row r="182" spans="1:26">
      <c r="A182" s="360">
        <v>45078</v>
      </c>
      <c r="B182" s="361">
        <f t="shared" si="7"/>
        <v>0.51527777777777783</v>
      </c>
      <c r="C182" s="361" t="s">
        <v>43</v>
      </c>
      <c r="D182" s="362" t="s">
        <v>120</v>
      </c>
      <c r="F182" s="535" t="s">
        <v>26</v>
      </c>
      <c r="G182" s="363">
        <v>21.0627</v>
      </c>
      <c r="H182" s="363">
        <v>23.128799999999998</v>
      </c>
      <c r="I182" s="323">
        <v>20.681699999999999</v>
      </c>
      <c r="J182" s="319">
        <v>24.342400000000001</v>
      </c>
      <c r="K182" s="366">
        <v>24.437000000000001</v>
      </c>
      <c r="L182" s="367">
        <v>23.414000000000001</v>
      </c>
      <c r="R182" s="315" t="s">
        <v>82</v>
      </c>
      <c r="U182" s="510" t="s">
        <v>125</v>
      </c>
      <c r="X182" s="512">
        <v>811.9</v>
      </c>
      <c r="Y182" s="513">
        <v>597.4</v>
      </c>
    </row>
    <row r="183" spans="1:26">
      <c r="A183" s="360">
        <v>45078</v>
      </c>
      <c r="B183" s="361">
        <f t="shared" si="7"/>
        <v>0.51736111111111105</v>
      </c>
      <c r="C183" s="361" t="s">
        <v>43</v>
      </c>
      <c r="D183" s="362" t="s">
        <v>120</v>
      </c>
      <c r="F183" s="535" t="s">
        <v>26</v>
      </c>
      <c r="G183" s="363">
        <v>21.0627</v>
      </c>
      <c r="H183" s="363">
        <v>23.128799999999998</v>
      </c>
      <c r="I183" s="323">
        <v>20.681699999999999</v>
      </c>
      <c r="J183" s="319">
        <v>24.342400000000001</v>
      </c>
      <c r="K183" s="366">
        <v>24.437000000000001</v>
      </c>
      <c r="L183" s="367">
        <v>23.414000000000001</v>
      </c>
      <c r="R183" s="315" t="s">
        <v>82</v>
      </c>
      <c r="U183" s="510" t="s">
        <v>126</v>
      </c>
      <c r="X183" s="322">
        <v>811.99</v>
      </c>
      <c r="Y183" s="322">
        <v>597.39</v>
      </c>
    </row>
    <row r="184" spans="1:26">
      <c r="A184" s="360">
        <v>45078</v>
      </c>
      <c r="B184" s="361">
        <f t="shared" si="7"/>
        <v>0.52013888888888882</v>
      </c>
      <c r="C184" s="361" t="s">
        <v>43</v>
      </c>
      <c r="D184" s="362" t="s">
        <v>120</v>
      </c>
      <c r="F184" s="535" t="s">
        <v>26</v>
      </c>
      <c r="G184" s="363">
        <v>21.0627</v>
      </c>
      <c r="H184" s="363">
        <v>23.128799999999998</v>
      </c>
      <c r="I184" s="323">
        <v>20.681699999999999</v>
      </c>
      <c r="J184" s="319">
        <v>24.342400000000001</v>
      </c>
      <c r="K184" s="366">
        <v>24.437000000000001</v>
      </c>
      <c r="L184" s="367">
        <v>23.414000000000001</v>
      </c>
      <c r="R184" s="315" t="s">
        <v>82</v>
      </c>
      <c r="U184" s="510" t="s">
        <v>127</v>
      </c>
      <c r="X184" s="322">
        <v>812.7</v>
      </c>
      <c r="Y184" s="322">
        <v>597.37</v>
      </c>
    </row>
    <row r="185" spans="1:26">
      <c r="A185" s="360">
        <v>45078</v>
      </c>
      <c r="B185" s="361">
        <f t="shared" si="7"/>
        <v>0.52430555555555558</v>
      </c>
      <c r="C185" s="361" t="s">
        <v>43</v>
      </c>
      <c r="D185" s="362" t="s">
        <v>120</v>
      </c>
      <c r="F185" s="535" t="s">
        <v>26</v>
      </c>
      <c r="G185" s="363">
        <v>21.0627</v>
      </c>
      <c r="H185" s="363">
        <v>23.128799999999998</v>
      </c>
      <c r="I185" s="323">
        <v>20.681699999999999</v>
      </c>
      <c r="J185" s="319">
        <v>24.342400000000001</v>
      </c>
      <c r="K185" s="366">
        <v>24.437000000000001</v>
      </c>
      <c r="L185" s="367">
        <v>23.414000000000001</v>
      </c>
      <c r="R185" s="315" t="s">
        <v>82</v>
      </c>
      <c r="U185" s="510" t="s">
        <v>128</v>
      </c>
      <c r="X185" s="322">
        <v>812.75</v>
      </c>
      <c r="Y185" s="322">
        <v>597.29999999999995</v>
      </c>
    </row>
    <row r="186" spans="1:26">
      <c r="A186" s="360">
        <v>45078</v>
      </c>
      <c r="B186" s="361">
        <f t="shared" si="7"/>
        <v>0.52500000000000002</v>
      </c>
      <c r="C186" s="361" t="s">
        <v>43</v>
      </c>
      <c r="D186" s="362" t="s">
        <v>120</v>
      </c>
      <c r="F186" s="542" t="s">
        <v>25</v>
      </c>
      <c r="G186" s="363">
        <v>21.0627</v>
      </c>
      <c r="H186" s="363">
        <v>23.128799999999998</v>
      </c>
      <c r="I186" s="323">
        <v>20.681699999999999</v>
      </c>
      <c r="J186" s="319">
        <v>24.342400000000001</v>
      </c>
      <c r="K186" s="366">
        <v>24.437000000000001</v>
      </c>
      <c r="L186" s="367">
        <v>23.414000000000001</v>
      </c>
      <c r="R186" s="315" t="s">
        <v>68</v>
      </c>
      <c r="U186" s="510" t="s">
        <v>129</v>
      </c>
      <c r="V186" s="315">
        <v>-2.5000000000000001E-3</v>
      </c>
      <c r="W186" s="315">
        <v>3.2000000000000002E-3</v>
      </c>
    </row>
    <row r="187" spans="1:26">
      <c r="A187" s="360">
        <v>45078</v>
      </c>
      <c r="B187" s="361">
        <f t="shared" si="7"/>
        <v>0.53125</v>
      </c>
      <c r="C187" s="361" t="s">
        <v>43</v>
      </c>
      <c r="D187" s="362" t="s">
        <v>120</v>
      </c>
      <c r="F187" s="535" t="s">
        <v>26</v>
      </c>
      <c r="G187" s="363">
        <v>21.0627</v>
      </c>
      <c r="H187" s="363">
        <v>23.128799999999998</v>
      </c>
      <c r="I187" s="323">
        <v>20.681699999999999</v>
      </c>
      <c r="J187" s="319">
        <v>24.342400000000001</v>
      </c>
      <c r="K187" s="366">
        <v>24.437000000000001</v>
      </c>
      <c r="L187" s="367">
        <v>23.414000000000001</v>
      </c>
      <c r="R187" s="315" t="s">
        <v>82</v>
      </c>
      <c r="U187" s="510" t="s">
        <v>130</v>
      </c>
      <c r="X187" s="322">
        <v>812.66800000000001</v>
      </c>
      <c r="Y187" s="322">
        <v>596.6</v>
      </c>
    </row>
    <row r="188" spans="1:26">
      <c r="A188" s="360">
        <v>45078</v>
      </c>
      <c r="B188" s="361">
        <f t="shared" ref="B188:B191" si="10">IF(U188&lt;&gt;0,TIMEVALUE(LEFT(U188,2)&amp;":"&amp;MID(U188,3,2)),"")</f>
        <v>0.53472222222222221</v>
      </c>
      <c r="C188" s="361" t="s">
        <v>43</v>
      </c>
      <c r="D188" s="362" t="s">
        <v>120</v>
      </c>
      <c r="F188" s="535" t="s">
        <v>26</v>
      </c>
      <c r="G188" s="363">
        <v>21.0627</v>
      </c>
      <c r="H188" s="363">
        <v>23.128799999999998</v>
      </c>
      <c r="I188" s="323">
        <v>20.681699999999999</v>
      </c>
      <c r="J188" s="319">
        <v>24.342400000000001</v>
      </c>
      <c r="K188" s="366">
        <v>24.437000000000001</v>
      </c>
      <c r="L188" s="367">
        <v>23.414000000000001</v>
      </c>
      <c r="R188" s="315" t="s">
        <v>82</v>
      </c>
      <c r="U188" s="510" t="s">
        <v>131</v>
      </c>
      <c r="X188" s="322">
        <v>812.82</v>
      </c>
      <c r="Y188" s="322">
        <v>596.65</v>
      </c>
    </row>
    <row r="189" spans="1:26">
      <c r="A189" s="360">
        <v>45078</v>
      </c>
      <c r="B189" s="361">
        <f t="shared" si="10"/>
        <v>0.56180555555555556</v>
      </c>
      <c r="C189" s="361" t="s">
        <v>43</v>
      </c>
      <c r="D189" s="362" t="s">
        <v>120</v>
      </c>
      <c r="F189" s="535" t="s">
        <v>26</v>
      </c>
      <c r="G189" s="363">
        <v>21.0627</v>
      </c>
      <c r="H189" s="363">
        <v>23.128799999999998</v>
      </c>
      <c r="I189" s="323">
        <v>20.681699999999999</v>
      </c>
      <c r="J189" s="319">
        <v>24.342400000000001</v>
      </c>
      <c r="K189" s="366">
        <v>24.437000000000001</v>
      </c>
      <c r="L189" s="367">
        <v>23.414000000000001</v>
      </c>
      <c r="R189" s="315" t="s">
        <v>82</v>
      </c>
      <c r="U189" s="510" t="s">
        <v>132</v>
      </c>
      <c r="X189" s="322">
        <v>813.63</v>
      </c>
      <c r="Y189" s="322">
        <v>596.70000000000005</v>
      </c>
    </row>
    <row r="190" spans="1:26">
      <c r="A190" s="360">
        <v>45078</v>
      </c>
      <c r="B190" s="361">
        <f t="shared" si="10"/>
        <v>0.56319444444444444</v>
      </c>
      <c r="C190" s="361" t="s">
        <v>43</v>
      </c>
      <c r="D190" s="362" t="s">
        <v>120</v>
      </c>
      <c r="F190" s="535" t="s">
        <v>26</v>
      </c>
      <c r="G190" s="363">
        <v>21.0627</v>
      </c>
      <c r="H190" s="363">
        <v>23.128799999999998</v>
      </c>
      <c r="I190" s="323">
        <v>20.681699999999999</v>
      </c>
      <c r="J190" s="319">
        <v>24.342400000000001</v>
      </c>
      <c r="K190" s="366">
        <v>24.437000000000001</v>
      </c>
      <c r="L190" s="367">
        <v>23.414000000000001</v>
      </c>
      <c r="R190" s="315" t="s">
        <v>82</v>
      </c>
      <c r="U190" s="510" t="s">
        <v>133</v>
      </c>
      <c r="X190" s="342">
        <v>812.93</v>
      </c>
      <c r="Y190" s="342">
        <v>596.70000000000005</v>
      </c>
    </row>
    <row r="191" spans="1:26">
      <c r="A191" s="360">
        <v>45078</v>
      </c>
      <c r="B191" s="361">
        <f t="shared" si="10"/>
        <v>0.56458333333333333</v>
      </c>
      <c r="C191" s="361" t="s">
        <v>43</v>
      </c>
      <c r="D191" s="362" t="s">
        <v>120</v>
      </c>
      <c r="F191" s="535" t="s">
        <v>25</v>
      </c>
      <c r="G191" s="363">
        <v>21.0627</v>
      </c>
      <c r="H191" s="363">
        <v>23.128799999999998</v>
      </c>
      <c r="I191" s="323">
        <v>20.681699999999999</v>
      </c>
      <c r="J191" s="319">
        <v>24.342400000000001</v>
      </c>
      <c r="K191" s="366">
        <v>24.425000000000001</v>
      </c>
      <c r="L191" s="367">
        <v>23.422000000000001</v>
      </c>
      <c r="M191" s="368">
        <v>-2147.4839999999999</v>
      </c>
      <c r="N191" s="368">
        <v>-65</v>
      </c>
      <c r="O191" s="368">
        <v>-60.003999999999998</v>
      </c>
      <c r="P191" s="368">
        <v>0</v>
      </c>
      <c r="Q191" s="369">
        <v>0</v>
      </c>
      <c r="R191" s="315" t="s">
        <v>68</v>
      </c>
      <c r="S191" s="315">
        <v>20</v>
      </c>
      <c r="T191" s="339">
        <v>4.0214809999999996</v>
      </c>
      <c r="U191" s="510" t="s">
        <v>134</v>
      </c>
      <c r="V191" s="315">
        <v>-2.2000000000000001E-3</v>
      </c>
      <c r="W191" s="315">
        <v>4.1999999999999997E-3</v>
      </c>
    </row>
    <row r="192" spans="1:26">
      <c r="A192" s="360">
        <v>45078</v>
      </c>
      <c r="B192" s="361">
        <f t="shared" ref="B192:B193" si="11">IF(U192&lt;&gt;0,TIMEVALUE(LEFT(U192,2)&amp;":"&amp;MID(U192,3,2)),"")</f>
        <v>0.6166666666666667</v>
      </c>
      <c r="C192" s="361" t="s">
        <v>43</v>
      </c>
      <c r="D192" s="362" t="s">
        <v>135</v>
      </c>
      <c r="E192" s="317" t="s">
        <v>24</v>
      </c>
      <c r="F192" s="535" t="s">
        <v>25</v>
      </c>
      <c r="G192" s="363">
        <v>21.0627</v>
      </c>
      <c r="H192" s="363">
        <v>23.128799999999998</v>
      </c>
      <c r="I192" s="323">
        <v>20.681699999999999</v>
      </c>
      <c r="J192" s="319">
        <v>24.342400000000001</v>
      </c>
      <c r="K192" s="366">
        <v>24.425000000000001</v>
      </c>
      <c r="L192" s="367">
        <v>23.422000000000001</v>
      </c>
      <c r="R192" s="315" t="s">
        <v>68</v>
      </c>
      <c r="S192" s="315">
        <v>20</v>
      </c>
      <c r="T192" s="339">
        <v>4.0214790000000002</v>
      </c>
      <c r="U192" s="510" t="s">
        <v>136</v>
      </c>
      <c r="V192" s="341">
        <v>-1.8E-3</v>
      </c>
      <c r="W192" s="341">
        <v>4.1999999999999997E-3</v>
      </c>
      <c r="Z192" s="333" t="s">
        <v>137</v>
      </c>
    </row>
    <row r="193" spans="1:26">
      <c r="A193" s="360">
        <v>45078</v>
      </c>
      <c r="B193" s="361">
        <f t="shared" si="11"/>
        <v>0.61736111111111114</v>
      </c>
      <c r="C193" s="361" t="s">
        <v>43</v>
      </c>
      <c r="D193" s="362" t="s">
        <v>135</v>
      </c>
      <c r="E193" s="317" t="s">
        <v>24</v>
      </c>
      <c r="F193" s="535" t="s">
        <v>26</v>
      </c>
      <c r="G193" s="363">
        <v>21.0627</v>
      </c>
      <c r="H193" s="363">
        <v>23.128799999999998</v>
      </c>
      <c r="I193" s="323">
        <v>20.681699999999999</v>
      </c>
      <c r="J193" s="319">
        <v>24.342400000000001</v>
      </c>
      <c r="K193" s="366">
        <v>24.425000000000001</v>
      </c>
      <c r="L193" s="367">
        <v>23.422000000000001</v>
      </c>
      <c r="R193" s="315" t="s">
        <v>82</v>
      </c>
      <c r="U193" s="510" t="s">
        <v>138</v>
      </c>
      <c r="X193" s="342">
        <v>813.64</v>
      </c>
      <c r="Y193" s="342">
        <v>597.54</v>
      </c>
    </row>
    <row r="194" spans="1:26">
      <c r="A194" s="360">
        <v>45078</v>
      </c>
      <c r="B194" s="361">
        <f t="shared" ref="B194:B201" si="12">IF(U194&lt;&gt;0,TIMEVALUE(LEFT(U194,2)&amp;":"&amp;MID(U194,3,2)),"")</f>
        <v>0.63055555555555554</v>
      </c>
      <c r="C194" s="361" t="s">
        <v>43</v>
      </c>
      <c r="D194" s="362" t="s">
        <v>135</v>
      </c>
      <c r="E194" s="317" t="s">
        <v>24</v>
      </c>
      <c r="F194" s="535" t="s">
        <v>31</v>
      </c>
      <c r="G194" s="363">
        <v>21.0627</v>
      </c>
      <c r="H194" s="363">
        <v>23.128799999999998</v>
      </c>
      <c r="I194" s="323">
        <v>20.681699999999999</v>
      </c>
      <c r="J194" s="319">
        <v>24.342400000000001</v>
      </c>
      <c r="K194" s="366">
        <v>24.425000000000001</v>
      </c>
      <c r="L194" s="367">
        <v>23.422000000000001</v>
      </c>
      <c r="M194" s="368">
        <v>101.51300000000001</v>
      </c>
      <c r="N194" s="368">
        <v>125.72499999999999</v>
      </c>
      <c r="O194" s="368">
        <v>-4.0000000000000001E-3</v>
      </c>
      <c r="P194" s="368">
        <v>1.4E-2</v>
      </c>
      <c r="Q194" s="369">
        <v>7.3700000000000002E-2</v>
      </c>
      <c r="R194" s="315" t="s">
        <v>68</v>
      </c>
      <c r="S194" s="315">
        <v>37</v>
      </c>
      <c r="T194" s="339">
        <v>3.4722179999999998</v>
      </c>
      <c r="U194" s="510" t="s">
        <v>139</v>
      </c>
      <c r="V194" s="315">
        <v>-1.1000000000000001E-3</v>
      </c>
      <c r="W194" s="315">
        <v>2.2000000000000001E-3</v>
      </c>
      <c r="Z194" s="333" t="s">
        <v>140</v>
      </c>
    </row>
    <row r="195" spans="1:26">
      <c r="A195" s="360">
        <v>45078</v>
      </c>
      <c r="B195" s="361">
        <f t="shared" si="12"/>
        <v>0.63888888888888895</v>
      </c>
      <c r="C195" s="361" t="s">
        <v>43</v>
      </c>
      <c r="D195" s="362" t="s">
        <v>135</v>
      </c>
      <c r="E195" s="317" t="s">
        <v>24</v>
      </c>
      <c r="F195" s="535" t="s">
        <v>32</v>
      </c>
      <c r="G195" s="363">
        <v>21.0627</v>
      </c>
      <c r="H195" s="363">
        <v>23.128799999999998</v>
      </c>
      <c r="I195" s="323">
        <v>20.681699999999999</v>
      </c>
      <c r="J195" s="319">
        <v>24.342400000000001</v>
      </c>
      <c r="K195" s="366">
        <v>24.425000000000001</v>
      </c>
      <c r="L195" s="367">
        <v>23.422000000000001</v>
      </c>
      <c r="M195" s="484">
        <v>88.936000000000007</v>
      </c>
      <c r="N195" s="484">
        <v>107.73</v>
      </c>
      <c r="O195" s="484">
        <v>0</v>
      </c>
      <c r="P195" s="484">
        <v>1.43E-2</v>
      </c>
      <c r="Q195" s="485">
        <v>7.3499999999999996E-2</v>
      </c>
      <c r="R195" s="514">
        <v>1130</v>
      </c>
      <c r="T195" s="515">
        <f>T194-T147</f>
        <v>-6.0000000003945786E-6</v>
      </c>
      <c r="U195" s="510" t="s">
        <v>141</v>
      </c>
      <c r="V195" s="516">
        <f>V194-V192</f>
        <v>6.9999999999999988E-4</v>
      </c>
      <c r="W195" s="516">
        <f>W194-W192</f>
        <v>-1.9999999999999996E-3</v>
      </c>
      <c r="X195" s="322">
        <v>812.96</v>
      </c>
      <c r="Y195" s="322">
        <v>596.79999999999995</v>
      </c>
      <c r="Z195" s="333" t="s">
        <v>140</v>
      </c>
    </row>
    <row r="196" spans="1:26">
      <c r="A196" s="360">
        <v>45078</v>
      </c>
      <c r="B196" s="361">
        <f t="shared" si="12"/>
        <v>0.65347222222222223</v>
      </c>
      <c r="C196" s="361" t="s">
        <v>43</v>
      </c>
      <c r="D196" s="362" t="s">
        <v>135</v>
      </c>
      <c r="F196" s="535" t="s">
        <v>25</v>
      </c>
      <c r="G196" s="363">
        <v>21.0627</v>
      </c>
      <c r="H196" s="363">
        <v>23.128799999999998</v>
      </c>
      <c r="I196" s="323">
        <v>20.681699999999999</v>
      </c>
      <c r="J196" s="319">
        <v>24.342400000000001</v>
      </c>
      <c r="K196" s="366">
        <v>24.425000000000001</v>
      </c>
      <c r="L196" s="367">
        <v>23.422000000000001</v>
      </c>
      <c r="M196" s="368">
        <v>-2147.4839999999999</v>
      </c>
      <c r="N196" s="368">
        <v>-65</v>
      </c>
      <c r="O196" s="368">
        <v>-60.01</v>
      </c>
      <c r="P196" s="368">
        <v>-2E-3</v>
      </c>
      <c r="Q196" s="369">
        <v>3.0000000000000001E-3</v>
      </c>
      <c r="R196" s="315" t="s">
        <v>68</v>
      </c>
      <c r="S196" s="315">
        <v>20</v>
      </c>
      <c r="T196" s="339">
        <v>4.0214749999999997</v>
      </c>
      <c r="U196" s="510" t="s">
        <v>142</v>
      </c>
      <c r="V196" s="315">
        <v>-1.5E-3</v>
      </c>
      <c r="W196" s="315">
        <v>4.1999999999999997E-3</v>
      </c>
    </row>
    <row r="197" spans="1:26" s="329" customFormat="1">
      <c r="A197" s="434">
        <v>45078</v>
      </c>
      <c r="B197" s="435">
        <f t="shared" si="12"/>
        <v>0.65555555555555556</v>
      </c>
      <c r="C197" s="435" t="s">
        <v>43</v>
      </c>
      <c r="D197" s="436" t="s">
        <v>135</v>
      </c>
      <c r="E197" s="324"/>
      <c r="F197" s="541" t="s">
        <v>26</v>
      </c>
      <c r="G197" s="418">
        <v>21.0627</v>
      </c>
      <c r="H197" s="418">
        <v>23.128799999999998</v>
      </c>
      <c r="I197" s="326">
        <v>20.681699999999999</v>
      </c>
      <c r="J197" s="325">
        <v>24.342400000000001</v>
      </c>
      <c r="K197" s="421">
        <v>24.425000000000001</v>
      </c>
      <c r="L197" s="422">
        <v>23.422000000000001</v>
      </c>
      <c r="M197" s="423">
        <v>-2147.4839999999999</v>
      </c>
      <c r="N197" s="423">
        <v>-65</v>
      </c>
      <c r="O197" s="423">
        <v>-60.01</v>
      </c>
      <c r="P197" s="423">
        <v>-2E-3</v>
      </c>
      <c r="Q197" s="424">
        <v>3.0000000000000001E-3</v>
      </c>
      <c r="R197" s="329" t="s">
        <v>82</v>
      </c>
      <c r="T197" s="340"/>
      <c r="U197" s="511" t="s">
        <v>143</v>
      </c>
      <c r="X197" s="330">
        <v>813.66</v>
      </c>
      <c r="Y197" s="330">
        <v>597.52</v>
      </c>
      <c r="Z197" s="334"/>
    </row>
    <row r="198" spans="1:26">
      <c r="A198" s="360">
        <v>45078</v>
      </c>
      <c r="B198" s="361">
        <f t="shared" si="12"/>
        <v>0.6972222222222223</v>
      </c>
      <c r="C198" s="361" t="s">
        <v>43</v>
      </c>
      <c r="D198" s="362" t="s">
        <v>144</v>
      </c>
      <c r="F198" s="535" t="s">
        <v>25</v>
      </c>
      <c r="G198" s="363">
        <v>21.0627</v>
      </c>
      <c r="H198" s="363">
        <v>23.128799999999998</v>
      </c>
      <c r="I198" s="323">
        <v>20.681699999999999</v>
      </c>
      <c r="J198" s="319">
        <v>24.342400000000001</v>
      </c>
      <c r="K198" s="366">
        <v>24.465</v>
      </c>
      <c r="L198" s="367">
        <v>23.472000000000001</v>
      </c>
      <c r="R198" s="315" t="s">
        <v>68</v>
      </c>
      <c r="S198" s="315">
        <v>19</v>
      </c>
      <c r="T198" s="339">
        <v>4.0220880000000001</v>
      </c>
      <c r="U198" s="510" t="s">
        <v>145</v>
      </c>
      <c r="V198" s="315">
        <v>6.9000000000000006E-2</v>
      </c>
      <c r="W198" s="315">
        <v>6.5000000000000002E-2</v>
      </c>
      <c r="Z198" s="333" t="s">
        <v>146</v>
      </c>
    </row>
    <row r="199" spans="1:26">
      <c r="A199" s="360">
        <v>45078</v>
      </c>
      <c r="B199" s="361">
        <f t="shared" si="12"/>
        <v>0.70416666666666661</v>
      </c>
      <c r="C199" s="361" t="s">
        <v>43</v>
      </c>
      <c r="D199" s="362" t="s">
        <v>144</v>
      </c>
      <c r="F199" s="535" t="s">
        <v>26</v>
      </c>
      <c r="G199" s="363">
        <v>21.0627</v>
      </c>
      <c r="H199" s="363">
        <v>23.128799999999998</v>
      </c>
      <c r="I199" s="323">
        <v>20.681699999999999</v>
      </c>
      <c r="J199" s="319">
        <v>24.342400000000001</v>
      </c>
      <c r="K199" s="366">
        <v>24.465</v>
      </c>
      <c r="L199" s="367">
        <v>23.472000000000001</v>
      </c>
      <c r="M199" s="368">
        <v>-2147.4839999999999</v>
      </c>
      <c r="N199" s="368">
        <v>-65</v>
      </c>
      <c r="O199" s="368">
        <v>-60.018999999999998</v>
      </c>
      <c r="P199" s="368">
        <v>-2E-3</v>
      </c>
      <c r="Q199" s="369">
        <v>3.0000000000000001E-3</v>
      </c>
      <c r="R199" s="315" t="s">
        <v>82</v>
      </c>
      <c r="U199" s="510" t="s">
        <v>147</v>
      </c>
      <c r="X199" s="322">
        <v>812.92700000000002</v>
      </c>
      <c r="Y199" s="322">
        <v>594.98500000000001</v>
      </c>
    </row>
    <row r="200" spans="1:26">
      <c r="A200" s="360">
        <v>45078</v>
      </c>
      <c r="B200" s="361">
        <v>0.71250000000000002</v>
      </c>
      <c r="C200" s="361" t="s">
        <v>43</v>
      </c>
      <c r="D200" s="362" t="s">
        <v>144</v>
      </c>
      <c r="F200" s="535" t="s">
        <v>27</v>
      </c>
      <c r="G200" s="363">
        <v>21.0627</v>
      </c>
      <c r="H200" s="363">
        <v>23.128799999999998</v>
      </c>
      <c r="I200" s="323">
        <v>20.681699999999999</v>
      </c>
      <c r="J200" s="319">
        <v>24.342400000000001</v>
      </c>
      <c r="K200" s="366">
        <v>24.12</v>
      </c>
      <c r="L200" s="468">
        <v>23.72</v>
      </c>
      <c r="S200" s="315">
        <v>31</v>
      </c>
      <c r="T200" s="339">
        <v>4.0326259999999996</v>
      </c>
      <c r="Z200" s="333" t="s">
        <v>148</v>
      </c>
    </row>
    <row r="201" spans="1:26">
      <c r="A201" s="360">
        <v>45078</v>
      </c>
      <c r="B201" s="361">
        <f t="shared" si="12"/>
        <v>0.71944444444444444</v>
      </c>
      <c r="C201" s="361" t="s">
        <v>43</v>
      </c>
      <c r="D201" s="362" t="s">
        <v>144</v>
      </c>
      <c r="F201" s="535" t="s">
        <v>26</v>
      </c>
      <c r="G201" s="363">
        <v>21.0627</v>
      </c>
      <c r="H201" s="363">
        <v>23.128799999999998</v>
      </c>
      <c r="I201" s="323">
        <v>20.681699999999999</v>
      </c>
      <c r="J201" s="319">
        <v>24.342400000000001</v>
      </c>
      <c r="K201" s="366">
        <v>24.465</v>
      </c>
      <c r="L201" s="367">
        <v>23.472000000000001</v>
      </c>
      <c r="R201" s="315" t="s">
        <v>82</v>
      </c>
      <c r="U201" s="510" t="s">
        <v>149</v>
      </c>
      <c r="X201" s="322">
        <v>812.82</v>
      </c>
      <c r="Y201" s="322">
        <v>595.61</v>
      </c>
      <c r="Z201" s="333" t="s">
        <v>150</v>
      </c>
    </row>
    <row r="202" spans="1:26">
      <c r="A202" s="360">
        <v>45078</v>
      </c>
      <c r="B202" s="361">
        <f t="shared" ref="B202:B203" si="13">IF(U202&lt;&gt;0,TIMEVALUE(LEFT(U202,2)&amp;":"&amp;MID(U202,3,2)),"")</f>
        <v>0.72986111111111107</v>
      </c>
      <c r="C202" s="361" t="s">
        <v>43</v>
      </c>
      <c r="D202" s="362" t="s">
        <v>144</v>
      </c>
      <c r="F202" s="535" t="s">
        <v>26</v>
      </c>
      <c r="G202" s="363">
        <v>21.0627</v>
      </c>
      <c r="H202" s="363">
        <v>23.128799999999998</v>
      </c>
      <c r="I202" s="323">
        <v>20.681699999999999</v>
      </c>
      <c r="J202" s="319">
        <v>24.342400000000001</v>
      </c>
      <c r="K202" s="366">
        <v>24.465</v>
      </c>
      <c r="L202" s="367">
        <v>23.472000000000001</v>
      </c>
      <c r="R202" s="315" t="s">
        <v>82</v>
      </c>
      <c r="U202" s="510" t="s">
        <v>151</v>
      </c>
      <c r="X202" s="322">
        <v>812.62</v>
      </c>
      <c r="Y202" s="322">
        <v>594.70000000000005</v>
      </c>
      <c r="Z202" s="333" t="s">
        <v>152</v>
      </c>
    </row>
    <row r="203" spans="1:26">
      <c r="A203" s="360">
        <v>45078</v>
      </c>
      <c r="B203" s="361">
        <f t="shared" si="13"/>
        <v>0.73125000000000007</v>
      </c>
      <c r="C203" s="361" t="s">
        <v>43</v>
      </c>
      <c r="D203" s="362" t="s">
        <v>144</v>
      </c>
      <c r="F203" s="535" t="s">
        <v>25</v>
      </c>
      <c r="G203" s="363">
        <v>21.0627</v>
      </c>
      <c r="H203" s="363">
        <v>23.128799999999998</v>
      </c>
      <c r="I203" s="323">
        <v>20.681699999999999</v>
      </c>
      <c r="J203" s="319">
        <v>24.342400000000001</v>
      </c>
      <c r="K203" s="366">
        <v>24.465</v>
      </c>
      <c r="L203" s="367">
        <v>23.472000000000001</v>
      </c>
      <c r="R203" s="315" t="s">
        <v>68</v>
      </c>
      <c r="S203" s="315">
        <v>13</v>
      </c>
      <c r="T203" s="339">
        <v>4.0220900000000004</v>
      </c>
      <c r="U203" s="510" t="s">
        <v>153</v>
      </c>
      <c r="V203" s="315">
        <v>6.83E-2</v>
      </c>
      <c r="W203" s="315">
        <v>6.5299999999999997E-2</v>
      </c>
    </row>
    <row r="204" spans="1:26">
      <c r="A204" s="360">
        <v>45078</v>
      </c>
      <c r="B204" s="361">
        <f t="shared" ref="B204:B214" si="14">IF(U204&lt;&gt;0,TIMEVALUE(LEFT(U204,2)&amp;":"&amp;MID(U204,3,2)),"")</f>
        <v>0.74652777777777779</v>
      </c>
      <c r="C204" s="361" t="s">
        <v>43</v>
      </c>
      <c r="D204" s="362" t="s">
        <v>144</v>
      </c>
      <c r="F204" s="535" t="s">
        <v>31</v>
      </c>
      <c r="G204" s="363">
        <v>21.0627</v>
      </c>
      <c r="H204" s="363">
        <v>23.128799999999998</v>
      </c>
      <c r="I204" s="323">
        <v>20.681699999999999</v>
      </c>
      <c r="J204" s="319">
        <v>24.342400000000001</v>
      </c>
      <c r="K204" s="337">
        <v>24.425000000000001</v>
      </c>
      <c r="L204" s="338">
        <v>23.422000000000001</v>
      </c>
      <c r="M204" s="368">
        <v>101.51300000000001</v>
      </c>
      <c r="N204" s="368">
        <v>125.72499999999999</v>
      </c>
      <c r="O204" s="368">
        <v>-4.0000000000000001E-3</v>
      </c>
      <c r="P204" s="368">
        <v>1.4E-2</v>
      </c>
      <c r="Q204" s="369">
        <v>7.3700000000000002E-2</v>
      </c>
      <c r="R204" s="315" t="s">
        <v>68</v>
      </c>
      <c r="S204" s="315">
        <v>15</v>
      </c>
      <c r="T204" s="339">
        <v>3.4722360000000001</v>
      </c>
      <c r="U204" s="510" t="s">
        <v>154</v>
      </c>
      <c r="V204" s="315">
        <v>-1.5E-3</v>
      </c>
      <c r="W204" s="315">
        <v>3.5000000000000001E-3</v>
      </c>
    </row>
    <row r="205" spans="1:26">
      <c r="A205" s="360">
        <v>45078</v>
      </c>
      <c r="B205" s="361">
        <f t="shared" si="14"/>
        <v>0.75555555555555554</v>
      </c>
      <c r="C205" s="361" t="s">
        <v>43</v>
      </c>
      <c r="D205" s="362" t="s">
        <v>144</v>
      </c>
      <c r="F205" s="535" t="s">
        <v>32</v>
      </c>
      <c r="G205" s="363">
        <v>21.0627</v>
      </c>
      <c r="H205" s="363">
        <v>23.128799999999998</v>
      </c>
      <c r="I205" s="323">
        <v>20.681699999999999</v>
      </c>
      <c r="J205" s="319">
        <v>24.342400000000001</v>
      </c>
      <c r="K205" s="337">
        <v>24.425000000000001</v>
      </c>
      <c r="L205" s="338">
        <v>23.422000000000001</v>
      </c>
      <c r="M205" s="484">
        <v>88.936000000000007</v>
      </c>
      <c r="N205" s="484">
        <v>107.73</v>
      </c>
      <c r="O205" s="484">
        <v>-3.0000000000000001E-3</v>
      </c>
      <c r="P205" s="484">
        <v>1.43E-2</v>
      </c>
      <c r="Q205" s="485">
        <v>7.3499999999999996E-2</v>
      </c>
      <c r="R205" s="514">
        <v>1132</v>
      </c>
      <c r="U205" s="510" t="s">
        <v>155</v>
      </c>
      <c r="X205" s="322">
        <v>813.63</v>
      </c>
      <c r="Y205" s="322">
        <v>596.59</v>
      </c>
    </row>
    <row r="206" spans="1:26">
      <c r="A206" s="360">
        <v>45078</v>
      </c>
      <c r="B206" s="361">
        <f t="shared" si="14"/>
        <v>0.76874999999999993</v>
      </c>
      <c r="C206" s="361" t="s">
        <v>43</v>
      </c>
      <c r="D206" s="362" t="s">
        <v>144</v>
      </c>
      <c r="F206" s="535" t="s">
        <v>25</v>
      </c>
      <c r="G206" s="363">
        <v>21.0627</v>
      </c>
      <c r="H206" s="363">
        <v>23.128799999999998</v>
      </c>
      <c r="I206" s="323">
        <v>20.681699999999999</v>
      </c>
      <c r="J206" s="319">
        <v>24.342400000000001</v>
      </c>
      <c r="K206" s="366">
        <v>24.465</v>
      </c>
      <c r="L206" s="367">
        <v>23.472000000000001</v>
      </c>
      <c r="R206" s="514" t="s">
        <v>68</v>
      </c>
      <c r="S206" s="315">
        <v>8</v>
      </c>
      <c r="T206" s="339">
        <v>4.0220760000000002</v>
      </c>
      <c r="U206" s="510" t="s">
        <v>156</v>
      </c>
      <c r="V206" s="315">
        <v>6.8699999999999997E-2</v>
      </c>
      <c r="W206" s="315">
        <v>6.4299999999999996E-2</v>
      </c>
    </row>
    <row r="207" spans="1:26" s="523" customFormat="1">
      <c r="A207" s="517">
        <v>45078</v>
      </c>
      <c r="B207" s="518">
        <f t="shared" si="14"/>
        <v>0.7729166666666667</v>
      </c>
      <c r="C207" s="518" t="s">
        <v>43</v>
      </c>
      <c r="D207" s="519" t="s">
        <v>144</v>
      </c>
      <c r="E207" s="520"/>
      <c r="F207" s="543" t="s">
        <v>26</v>
      </c>
      <c r="G207" s="528">
        <v>21.0627</v>
      </c>
      <c r="H207" s="528">
        <v>23.128799999999998</v>
      </c>
      <c r="I207" s="529">
        <v>20.681699999999999</v>
      </c>
      <c r="J207" s="530">
        <v>24.342400000000001</v>
      </c>
      <c r="K207" s="453">
        <v>24.465</v>
      </c>
      <c r="L207" s="454">
        <v>23.472000000000001</v>
      </c>
      <c r="M207" s="521"/>
      <c r="N207" s="521"/>
      <c r="O207" s="521"/>
      <c r="P207" s="521"/>
      <c r="Q207" s="522"/>
      <c r="R207" s="523" t="s">
        <v>82</v>
      </c>
      <c r="T207" s="524"/>
      <c r="U207" s="525" t="s">
        <v>157</v>
      </c>
      <c r="X207" s="526">
        <v>813.56</v>
      </c>
      <c r="Y207" s="526">
        <v>594.66</v>
      </c>
      <c r="Z207" s="527"/>
    </row>
    <row r="208" spans="1:26">
      <c r="A208" s="360">
        <v>45078</v>
      </c>
      <c r="B208" s="361">
        <f t="shared" si="14"/>
        <v>0.80625000000000002</v>
      </c>
      <c r="C208" s="361" t="s">
        <v>43</v>
      </c>
      <c r="D208" s="362" t="s">
        <v>110</v>
      </c>
      <c r="E208" s="361"/>
      <c r="F208" s="535" t="s">
        <v>25</v>
      </c>
      <c r="G208" s="363">
        <v>20.312000000000001</v>
      </c>
      <c r="H208" s="363">
        <v>23.7254</v>
      </c>
      <c r="I208" s="365">
        <v>21.523599999999998</v>
      </c>
      <c r="J208" s="364">
        <v>23.6494</v>
      </c>
      <c r="K208" s="366">
        <v>24.465</v>
      </c>
      <c r="L208" s="367">
        <v>23.472000000000001</v>
      </c>
      <c r="R208" s="315" t="s">
        <v>68</v>
      </c>
      <c r="U208" s="510" t="s">
        <v>158</v>
      </c>
      <c r="V208" s="315">
        <v>-1.29E-2</v>
      </c>
      <c r="W208" s="315">
        <v>2.75E-2</v>
      </c>
    </row>
    <row r="209" spans="1:27">
      <c r="A209" s="360">
        <v>45078</v>
      </c>
      <c r="B209" s="361" t="str">
        <f t="shared" si="14"/>
        <v/>
      </c>
      <c r="C209" s="361" t="s">
        <v>43</v>
      </c>
      <c r="D209" s="362" t="s">
        <v>110</v>
      </c>
      <c r="E209" s="361"/>
      <c r="F209" s="535" t="s">
        <v>26</v>
      </c>
      <c r="G209" s="363">
        <v>20.312000000000001</v>
      </c>
      <c r="H209" s="363">
        <v>23.7254</v>
      </c>
      <c r="I209" s="365">
        <v>21.523599999999998</v>
      </c>
      <c r="J209" s="364">
        <v>23.6494</v>
      </c>
      <c r="K209" s="366">
        <v>24.465</v>
      </c>
      <c r="L209" s="367">
        <v>23.472000000000001</v>
      </c>
      <c r="M209" s="368">
        <v>-2147.4839999999999</v>
      </c>
      <c r="N209" s="368">
        <v>-65</v>
      </c>
      <c r="O209" s="368">
        <v>-60.018999999999998</v>
      </c>
      <c r="P209" s="368">
        <v>-2E-3</v>
      </c>
      <c r="Q209" s="369">
        <v>3.0000000000000001E-3</v>
      </c>
      <c r="R209" s="315" t="s">
        <v>82</v>
      </c>
      <c r="X209" s="322">
        <v>807.85</v>
      </c>
      <c r="Y209" s="322">
        <v>601.80999999999995</v>
      </c>
    </row>
    <row r="210" spans="1:27">
      <c r="A210" s="360">
        <v>45078</v>
      </c>
      <c r="B210" s="361">
        <f t="shared" si="14"/>
        <v>0.81944444444444453</v>
      </c>
      <c r="C210" s="361" t="s">
        <v>43</v>
      </c>
      <c r="D210" s="362" t="s">
        <v>110</v>
      </c>
      <c r="E210" s="361"/>
      <c r="F210" s="535" t="s">
        <v>25</v>
      </c>
      <c r="G210" s="363">
        <v>20.2972</v>
      </c>
      <c r="H210" s="363">
        <v>23.711600000000001</v>
      </c>
      <c r="I210" s="365">
        <v>21.523599999999998</v>
      </c>
      <c r="J210" s="364">
        <v>23.6494</v>
      </c>
      <c r="K210" s="366">
        <v>24.465</v>
      </c>
      <c r="L210" s="367">
        <v>23.472000000000001</v>
      </c>
      <c r="R210" s="315" t="s">
        <v>68</v>
      </c>
      <c r="U210" s="510" t="s">
        <v>159</v>
      </c>
      <c r="V210" s="315">
        <v>1.7299999999999999E-2</v>
      </c>
      <c r="W210" s="315">
        <v>8.0000000000000002E-3</v>
      </c>
    </row>
    <row r="211" spans="1:27">
      <c r="A211" s="360">
        <v>45078</v>
      </c>
      <c r="B211" s="361">
        <f t="shared" si="14"/>
        <v>0.82291666666666663</v>
      </c>
      <c r="C211" s="361" t="s">
        <v>43</v>
      </c>
      <c r="D211" s="362" t="s">
        <v>110</v>
      </c>
      <c r="E211" s="361"/>
      <c r="F211" s="535" t="s">
        <v>26</v>
      </c>
      <c r="G211" s="363">
        <v>20.2972</v>
      </c>
      <c r="H211" s="363">
        <v>23.711600000000001</v>
      </c>
      <c r="I211" s="365">
        <v>21.523599999999998</v>
      </c>
      <c r="J211" s="364">
        <v>23.6494</v>
      </c>
      <c r="K211" s="366">
        <v>24.465</v>
      </c>
      <c r="L211" s="367">
        <v>23.472000000000001</v>
      </c>
      <c r="R211" s="315" t="s">
        <v>82</v>
      </c>
      <c r="U211" s="510" t="s">
        <v>160</v>
      </c>
      <c r="X211" s="322">
        <v>807.67</v>
      </c>
      <c r="Y211" s="322">
        <v>601.76</v>
      </c>
      <c r="Z211" s="315"/>
    </row>
    <row r="212" spans="1:27">
      <c r="A212" s="360">
        <v>45078</v>
      </c>
      <c r="B212" s="361">
        <f t="shared" si="14"/>
        <v>0.82500000000000007</v>
      </c>
      <c r="C212" s="361" t="s">
        <v>43</v>
      </c>
      <c r="D212" s="362" t="s">
        <v>110</v>
      </c>
      <c r="E212" s="361"/>
      <c r="F212" s="535" t="s">
        <v>25</v>
      </c>
      <c r="G212" s="363">
        <v>20.302</v>
      </c>
      <c r="H212" s="363">
        <v>23.714200000000002</v>
      </c>
      <c r="I212" s="365">
        <v>21.523599999999998</v>
      </c>
      <c r="J212" s="364">
        <v>23.6494</v>
      </c>
      <c r="K212" s="366">
        <v>24.465</v>
      </c>
      <c r="L212" s="367">
        <v>23.472000000000001</v>
      </c>
      <c r="R212" s="315" t="s">
        <v>68</v>
      </c>
      <c r="U212" s="510" t="s">
        <v>161</v>
      </c>
      <c r="V212" s="315">
        <v>1.03E-2</v>
      </c>
      <c r="W212" s="315">
        <v>4.8999999999999998E-3</v>
      </c>
      <c r="Z212" s="315"/>
    </row>
    <row r="213" spans="1:27">
      <c r="A213" s="360">
        <v>45078</v>
      </c>
      <c r="B213" s="361">
        <f t="shared" si="14"/>
        <v>0.82777777777777783</v>
      </c>
      <c r="C213" s="361" t="s">
        <v>43</v>
      </c>
      <c r="D213" s="362" t="s">
        <v>110</v>
      </c>
      <c r="E213" s="361"/>
      <c r="F213" s="535" t="s">
        <v>26</v>
      </c>
      <c r="G213" s="363">
        <v>20.184000000000001</v>
      </c>
      <c r="H213" s="363">
        <v>23.776399999999999</v>
      </c>
      <c r="I213" s="365">
        <v>21.6113</v>
      </c>
      <c r="J213" s="364">
        <v>23.540199999999999</v>
      </c>
      <c r="K213" s="366">
        <v>24.465</v>
      </c>
      <c r="L213" s="367">
        <v>23.472000000000001</v>
      </c>
      <c r="R213" s="315" t="s">
        <v>82</v>
      </c>
      <c r="U213" s="510" t="s">
        <v>162</v>
      </c>
      <c r="X213" s="322">
        <v>807.79300000000001</v>
      </c>
      <c r="Y213" s="322">
        <v>601.774</v>
      </c>
    </row>
    <row r="214" spans="1:27">
      <c r="A214" s="360">
        <v>45078</v>
      </c>
      <c r="B214" s="361">
        <f t="shared" si="14"/>
        <v>0.83194444444444438</v>
      </c>
      <c r="C214" s="361" t="s">
        <v>43</v>
      </c>
      <c r="D214" s="362" t="s">
        <v>110</v>
      </c>
      <c r="E214" s="361"/>
      <c r="F214" s="535" t="s">
        <v>25</v>
      </c>
      <c r="G214" s="363">
        <v>20.184000000000001</v>
      </c>
      <c r="H214" s="363">
        <v>23.776399999999999</v>
      </c>
      <c r="I214" s="365">
        <v>21.6113</v>
      </c>
      <c r="J214" s="364">
        <v>23.540199999999999</v>
      </c>
      <c r="K214" s="366">
        <v>24.465</v>
      </c>
      <c r="L214" s="367">
        <v>23.472000000000001</v>
      </c>
      <c r="Q214" s="320"/>
      <c r="R214" s="315" t="s">
        <v>68</v>
      </c>
      <c r="U214" s="510" t="s">
        <v>163</v>
      </c>
      <c r="V214" s="315">
        <v>-1E-3</v>
      </c>
      <c r="W214" s="315">
        <v>-1.2999999999999999E-3</v>
      </c>
    </row>
    <row r="215" spans="1:27">
      <c r="A215" s="360">
        <v>45078</v>
      </c>
      <c r="B215" s="361">
        <f t="shared" ref="B215:B218" si="15">IF(U215&lt;&gt;0,TIMEVALUE(LEFT(U215,2)&amp;":"&amp;MID(U215,3,2)),"")</f>
        <v>0.83333333333333337</v>
      </c>
      <c r="C215" s="361" t="s">
        <v>43</v>
      </c>
      <c r="D215" s="362" t="s">
        <v>110</v>
      </c>
      <c r="F215" s="542" t="s">
        <v>26</v>
      </c>
      <c r="G215" s="363">
        <v>20.184000000000001</v>
      </c>
      <c r="H215" s="363">
        <v>23.776399999999999</v>
      </c>
      <c r="I215" s="365">
        <v>21.6113</v>
      </c>
      <c r="J215" s="364">
        <v>23.540199999999999</v>
      </c>
      <c r="K215" s="366">
        <v>24.465</v>
      </c>
      <c r="L215" s="367">
        <v>23.472000000000001</v>
      </c>
      <c r="R215" s="315" t="s">
        <v>82</v>
      </c>
      <c r="U215" s="510" t="s">
        <v>164</v>
      </c>
      <c r="X215" s="322">
        <v>807.6</v>
      </c>
      <c r="Y215" s="322">
        <v>601.64</v>
      </c>
      <c r="Z215" s="531" t="s">
        <v>165</v>
      </c>
      <c r="AA215" s="333"/>
    </row>
    <row r="216" spans="1:27">
      <c r="A216" s="360">
        <v>45078</v>
      </c>
      <c r="B216" s="361" t="str">
        <f t="shared" si="15"/>
        <v/>
      </c>
      <c r="C216" s="361" t="s">
        <v>43</v>
      </c>
      <c r="D216" s="332" t="s">
        <v>120</v>
      </c>
      <c r="G216" s="363">
        <v>20.184000000000001</v>
      </c>
      <c r="H216" s="363">
        <v>23.776399999999999</v>
      </c>
      <c r="I216" s="365">
        <v>21.6113</v>
      </c>
      <c r="J216" s="364">
        <v>23.540199999999999</v>
      </c>
      <c r="K216" s="366">
        <v>24.465</v>
      </c>
      <c r="L216" s="367">
        <v>23.472000000000001</v>
      </c>
      <c r="Z216" s="333" t="s">
        <v>166</v>
      </c>
    </row>
    <row r="217" spans="1:27">
      <c r="A217" s="360">
        <v>45078</v>
      </c>
      <c r="B217" s="361">
        <f t="shared" si="15"/>
        <v>0.84930555555555554</v>
      </c>
      <c r="C217" s="361" t="s">
        <v>43</v>
      </c>
      <c r="D217" s="332" t="s">
        <v>120</v>
      </c>
      <c r="E217" s="361"/>
      <c r="F217" s="535" t="s">
        <v>26</v>
      </c>
      <c r="G217" s="363">
        <v>20.184000000000001</v>
      </c>
      <c r="H217" s="363">
        <v>23.776399999999999</v>
      </c>
      <c r="I217" s="365">
        <v>21.6113</v>
      </c>
      <c r="J217" s="364">
        <v>23.540199999999999</v>
      </c>
      <c r="K217" s="366">
        <v>24.465</v>
      </c>
      <c r="L217" s="367">
        <v>23.472000000000001</v>
      </c>
      <c r="R217" s="315" t="s">
        <v>82</v>
      </c>
      <c r="U217" s="510" t="s">
        <v>167</v>
      </c>
      <c r="X217" s="322">
        <v>809.68499999999995</v>
      </c>
      <c r="Y217" s="322">
        <v>601.59</v>
      </c>
      <c r="Z217" s="333" t="s">
        <v>168</v>
      </c>
    </row>
    <row r="218" spans="1:27">
      <c r="A218" s="360">
        <v>45078</v>
      </c>
      <c r="B218" s="361">
        <f t="shared" si="15"/>
        <v>0.85138888888888886</v>
      </c>
      <c r="C218" s="361" t="s">
        <v>43</v>
      </c>
      <c r="D218" s="332" t="s">
        <v>120</v>
      </c>
      <c r="E218" s="361"/>
      <c r="F218" s="535" t="s">
        <v>25</v>
      </c>
      <c r="G218" s="363">
        <v>20.184000000000001</v>
      </c>
      <c r="H218" s="363">
        <v>23.776399999999999</v>
      </c>
      <c r="I218" s="365">
        <v>21.6113</v>
      </c>
      <c r="J218" s="364">
        <v>23.540199999999999</v>
      </c>
      <c r="K218" s="366">
        <v>24.465</v>
      </c>
      <c r="L218" s="367">
        <v>23.472000000000001</v>
      </c>
      <c r="R218" s="315" t="s">
        <v>68</v>
      </c>
      <c r="U218" s="510" t="s">
        <v>169</v>
      </c>
      <c r="V218" s="315">
        <v>-8.0000000000000004E-4</v>
      </c>
      <c r="W218" s="315">
        <v>8.0000000000000004E-4</v>
      </c>
    </row>
    <row r="219" spans="1:27">
      <c r="A219" s="360">
        <v>45078</v>
      </c>
      <c r="B219" s="361">
        <f t="shared" ref="B219:B220" si="16">IF(U219&lt;&gt;0,TIMEVALUE(LEFT(U219,2)&amp;":"&amp;MID(U219,3,2)),"")</f>
        <v>0.86041666666666661</v>
      </c>
      <c r="C219" s="361" t="s">
        <v>43</v>
      </c>
      <c r="D219" s="332" t="s">
        <v>120</v>
      </c>
      <c r="E219" s="361"/>
      <c r="F219" s="535" t="s">
        <v>25</v>
      </c>
      <c r="G219" s="363">
        <v>20.184000000000001</v>
      </c>
      <c r="H219" s="363">
        <v>23.776399999999999</v>
      </c>
      <c r="I219" s="365">
        <v>21.6113</v>
      </c>
      <c r="J219" s="364">
        <v>23.540199999999999</v>
      </c>
      <c r="K219" s="366">
        <v>24.465</v>
      </c>
      <c r="L219" s="367">
        <v>23.472000000000001</v>
      </c>
      <c r="R219" s="315" t="s">
        <v>68</v>
      </c>
      <c r="U219" s="510" t="s">
        <v>170</v>
      </c>
      <c r="V219" s="315">
        <v>-8.0000000000000004E-4</v>
      </c>
      <c r="W219" s="315">
        <v>1.5E-3</v>
      </c>
    </row>
    <row r="220" spans="1:27">
      <c r="A220" s="360">
        <v>45078</v>
      </c>
      <c r="B220" s="361">
        <f t="shared" si="16"/>
        <v>0.8618055555555556</v>
      </c>
      <c r="C220" s="361" t="s">
        <v>43</v>
      </c>
      <c r="D220" s="332" t="s">
        <v>120</v>
      </c>
      <c r="E220" s="361"/>
      <c r="F220" s="535" t="s">
        <v>26</v>
      </c>
      <c r="G220" s="363">
        <v>20.184000000000001</v>
      </c>
      <c r="H220" s="363">
        <v>23.776399999999999</v>
      </c>
      <c r="I220" s="365">
        <v>21.6113</v>
      </c>
      <c r="J220" s="364">
        <v>23.540199999999999</v>
      </c>
      <c r="K220" s="366">
        <v>24.465</v>
      </c>
      <c r="L220" s="367">
        <v>23.472000000000001</v>
      </c>
      <c r="R220" s="315" t="s">
        <v>82</v>
      </c>
      <c r="U220" s="510" t="s">
        <v>171</v>
      </c>
      <c r="X220" s="322">
        <v>810.57</v>
      </c>
      <c r="Y220" s="322">
        <v>600.64</v>
      </c>
      <c r="Z220" s="347" t="s">
        <v>172</v>
      </c>
    </row>
    <row r="221" spans="1:27">
      <c r="A221" s="360">
        <v>45078</v>
      </c>
      <c r="B221" s="361">
        <f t="shared" ref="B221:B223" si="17">IF(U221&lt;&gt;0,TIMEVALUE(LEFT(U221,2)&amp;":"&amp;MID(U221,3,2)),"")</f>
        <v>0.86736111111111114</v>
      </c>
      <c r="C221" s="361" t="s">
        <v>43</v>
      </c>
      <c r="D221" s="332" t="s">
        <v>120</v>
      </c>
      <c r="E221" s="361"/>
      <c r="F221" s="535" t="s">
        <v>26</v>
      </c>
      <c r="G221" s="363">
        <v>20.184000000000001</v>
      </c>
      <c r="H221" s="363">
        <v>23.776399999999999</v>
      </c>
      <c r="I221" s="365">
        <v>21.6113</v>
      </c>
      <c r="J221" s="364">
        <v>23.540199999999999</v>
      </c>
      <c r="K221" s="366">
        <v>24.465</v>
      </c>
      <c r="L221" s="367">
        <v>23.472000000000001</v>
      </c>
      <c r="R221" s="315" t="s">
        <v>82</v>
      </c>
      <c r="U221" s="510" t="s">
        <v>173</v>
      </c>
      <c r="X221" s="322">
        <v>810.6</v>
      </c>
      <c r="Y221" s="322">
        <v>600.65</v>
      </c>
      <c r="Z221" s="347" t="s">
        <v>174</v>
      </c>
    </row>
    <row r="222" spans="1:27">
      <c r="A222" s="360">
        <v>45078</v>
      </c>
      <c r="B222" s="361">
        <f t="shared" si="17"/>
        <v>0.86944444444444446</v>
      </c>
      <c r="C222" s="361" t="s">
        <v>43</v>
      </c>
      <c r="D222" s="332" t="s">
        <v>120</v>
      </c>
      <c r="E222" s="361"/>
      <c r="F222" s="535" t="s">
        <v>25</v>
      </c>
      <c r="G222" s="363">
        <v>20.184000000000001</v>
      </c>
      <c r="H222" s="363">
        <v>23.776399999999999</v>
      </c>
      <c r="I222" s="365">
        <v>21.6113</v>
      </c>
      <c r="J222" s="364">
        <v>23.540199999999999</v>
      </c>
      <c r="K222" s="366">
        <v>24.465</v>
      </c>
      <c r="L222" s="367">
        <v>23.472000000000001</v>
      </c>
      <c r="R222" s="315" t="s">
        <v>68</v>
      </c>
      <c r="U222" s="510" t="s">
        <v>175</v>
      </c>
      <c r="V222" s="315">
        <v>-8.0000000000000004E-4</v>
      </c>
      <c r="W222" s="315">
        <v>2.0999999999999999E-3</v>
      </c>
    </row>
    <row r="223" spans="1:27">
      <c r="A223" s="360">
        <v>45078</v>
      </c>
      <c r="B223" s="361">
        <f t="shared" si="17"/>
        <v>0.87430555555555556</v>
      </c>
      <c r="C223" s="361" t="s">
        <v>43</v>
      </c>
      <c r="D223" s="332" t="s">
        <v>120</v>
      </c>
      <c r="E223" s="361"/>
      <c r="F223" s="542" t="s">
        <v>25</v>
      </c>
      <c r="G223" s="363">
        <v>20.184000000000001</v>
      </c>
      <c r="H223" s="363">
        <v>23.776399999999999</v>
      </c>
      <c r="I223" s="365">
        <v>21.6113</v>
      </c>
      <c r="J223" s="364">
        <v>23.540199999999999</v>
      </c>
      <c r="K223" s="366">
        <v>24.465</v>
      </c>
      <c r="L223" s="367">
        <v>23.472000000000001</v>
      </c>
      <c r="R223" s="315" t="s">
        <v>68</v>
      </c>
      <c r="U223" s="510" t="s">
        <v>176</v>
      </c>
      <c r="V223" s="315">
        <v>-4.0000000000000002E-4</v>
      </c>
      <c r="W223" s="315">
        <v>2.2000000000000001E-3</v>
      </c>
    </row>
    <row r="224" spans="1:27">
      <c r="A224" s="360">
        <v>45078</v>
      </c>
      <c r="B224" s="361">
        <f t="shared" ref="B224" si="18">IF(U224&lt;&gt;0,TIMEVALUE(LEFT(U224,2)&amp;":"&amp;MID(U224,3,2)),"")</f>
        <v>0.87569444444444444</v>
      </c>
      <c r="C224" s="361" t="s">
        <v>43</v>
      </c>
      <c r="D224" s="332" t="s">
        <v>120</v>
      </c>
      <c r="F224" s="542" t="s">
        <v>26</v>
      </c>
      <c r="G224" s="363">
        <v>20.184000000000001</v>
      </c>
      <c r="H224" s="363">
        <v>23.776399999999999</v>
      </c>
      <c r="I224" s="365">
        <v>21.6113</v>
      </c>
      <c r="J224" s="364">
        <v>23.540199999999999</v>
      </c>
      <c r="K224" s="366">
        <v>24.465</v>
      </c>
      <c r="L224" s="367">
        <v>23.472000000000001</v>
      </c>
      <c r="R224" s="315" t="s">
        <v>82</v>
      </c>
      <c r="U224" s="510" t="s">
        <v>177</v>
      </c>
      <c r="X224" s="322">
        <v>810.65</v>
      </c>
      <c r="Y224" s="322">
        <v>600.62300000000005</v>
      </c>
    </row>
    <row r="225" spans="1:26">
      <c r="A225" s="360">
        <v>45078</v>
      </c>
      <c r="B225" s="361">
        <f t="shared" ref="B225:B227" si="19">IF(U225&lt;&gt;0,TIMEVALUE(LEFT(U225,2)&amp;":"&amp;MID(U225,3,2)),"")</f>
        <v>0.88124999999999998</v>
      </c>
      <c r="C225" s="361" t="s">
        <v>43</v>
      </c>
      <c r="D225" s="332" t="s">
        <v>120</v>
      </c>
      <c r="F225" s="535" t="s">
        <v>26</v>
      </c>
      <c r="G225" s="363">
        <v>20.184000000000001</v>
      </c>
      <c r="H225" s="363">
        <v>23.776399999999999</v>
      </c>
      <c r="I225" s="365">
        <v>21.6113</v>
      </c>
      <c r="J225" s="364">
        <v>23.540199999999999</v>
      </c>
      <c r="K225" s="366">
        <v>24.465</v>
      </c>
      <c r="L225" s="367">
        <v>23.472000000000001</v>
      </c>
      <c r="R225" s="315" t="s">
        <v>82</v>
      </c>
      <c r="U225" s="510" t="s">
        <v>178</v>
      </c>
      <c r="X225" s="322">
        <v>810.65</v>
      </c>
      <c r="Y225" s="322">
        <v>600.64</v>
      </c>
    </row>
    <row r="226" spans="1:26">
      <c r="A226" s="360">
        <v>45078</v>
      </c>
      <c r="B226" s="361">
        <f t="shared" si="19"/>
        <v>0.88263888888888886</v>
      </c>
      <c r="C226" s="361" t="s">
        <v>43</v>
      </c>
      <c r="D226" s="332" t="s">
        <v>120</v>
      </c>
      <c r="F226" s="535" t="s">
        <v>25</v>
      </c>
      <c r="G226" s="363">
        <v>20.184000000000001</v>
      </c>
      <c r="H226" s="363">
        <v>23.776399999999999</v>
      </c>
      <c r="I226" s="365">
        <v>21.6113</v>
      </c>
      <c r="J226" s="364">
        <v>23.540199999999999</v>
      </c>
      <c r="K226" s="366">
        <v>24.465</v>
      </c>
      <c r="L226" s="367">
        <v>23.472000000000001</v>
      </c>
      <c r="R226" s="315" t="s">
        <v>68</v>
      </c>
      <c r="U226" s="510" t="s">
        <v>179</v>
      </c>
      <c r="V226" s="315">
        <v>-4.0000000000000002E-4</v>
      </c>
      <c r="W226" s="315">
        <v>2.2000000000000001E-3</v>
      </c>
    </row>
    <row r="227" spans="1:26">
      <c r="A227" s="360">
        <v>45078</v>
      </c>
      <c r="B227" s="361">
        <f t="shared" si="19"/>
        <v>0.89236111111111116</v>
      </c>
      <c r="C227" s="361" t="s">
        <v>43</v>
      </c>
      <c r="D227" s="332" t="s">
        <v>120</v>
      </c>
      <c r="F227" s="542" t="s">
        <v>25</v>
      </c>
      <c r="G227" s="363">
        <v>20.184000000000001</v>
      </c>
      <c r="H227" s="363">
        <v>23.776399999999999</v>
      </c>
      <c r="I227" s="365">
        <v>21.6113</v>
      </c>
      <c r="J227" s="364">
        <v>23.540199999999999</v>
      </c>
      <c r="K227" s="366">
        <v>24.465</v>
      </c>
      <c r="L227" s="367">
        <v>23.472000000000001</v>
      </c>
      <c r="R227" s="315" t="s">
        <v>68</v>
      </c>
      <c r="U227" s="510" t="s">
        <v>180</v>
      </c>
      <c r="V227" s="315">
        <v>-4.0000000000000002E-4</v>
      </c>
      <c r="W227" s="315">
        <v>2.2000000000000001E-3</v>
      </c>
    </row>
    <row r="228" spans="1:26">
      <c r="A228" s="360">
        <v>45078</v>
      </c>
      <c r="B228" s="361">
        <f t="shared" ref="B228:B232" si="20">IF(U228&lt;&gt;0,TIMEVALUE(LEFT(U228,2)&amp;":"&amp;MID(U228,3,2)),"")</f>
        <v>0.8930555555555556</v>
      </c>
      <c r="C228" s="361" t="s">
        <v>43</v>
      </c>
      <c r="D228" s="332" t="s">
        <v>120</v>
      </c>
      <c r="F228" s="542" t="s">
        <v>26</v>
      </c>
      <c r="G228" s="363">
        <v>20.184000000000001</v>
      </c>
      <c r="H228" s="363">
        <v>23.776399999999999</v>
      </c>
      <c r="I228" s="365">
        <v>21.6113</v>
      </c>
      <c r="J228" s="364">
        <v>23.540199999999999</v>
      </c>
      <c r="K228" s="366">
        <v>24.465</v>
      </c>
      <c r="L228" s="367">
        <v>23.472000000000001</v>
      </c>
      <c r="R228" s="315" t="s">
        <v>82</v>
      </c>
      <c r="U228" s="510" t="s">
        <v>181</v>
      </c>
      <c r="V228" s="516"/>
      <c r="W228" s="516"/>
      <c r="X228" s="322">
        <v>810.67499999999995</v>
      </c>
      <c r="Y228" s="322">
        <v>600.71</v>
      </c>
    </row>
    <row r="229" spans="1:26">
      <c r="A229" s="360">
        <v>45078</v>
      </c>
      <c r="B229" s="361">
        <f t="shared" si="20"/>
        <v>0.90069444444444446</v>
      </c>
      <c r="C229" s="361" t="s">
        <v>43</v>
      </c>
      <c r="D229" s="332" t="s">
        <v>120</v>
      </c>
      <c r="F229" s="535" t="s">
        <v>26</v>
      </c>
      <c r="G229" s="363">
        <v>20.184000000000001</v>
      </c>
      <c r="H229" s="363">
        <v>23.776399999999999</v>
      </c>
      <c r="I229" s="365">
        <v>21.6113</v>
      </c>
      <c r="J229" s="364">
        <v>23.540199999999999</v>
      </c>
      <c r="K229" s="366">
        <v>24.465</v>
      </c>
      <c r="L229" s="367">
        <v>23.472000000000001</v>
      </c>
      <c r="R229" s="315" t="s">
        <v>82</v>
      </c>
      <c r="U229" s="510" t="s">
        <v>182</v>
      </c>
      <c r="X229" s="532">
        <v>810.66</v>
      </c>
      <c r="Y229" s="532">
        <v>600.78</v>
      </c>
    </row>
    <row r="230" spans="1:26">
      <c r="A230" s="360">
        <v>45078</v>
      </c>
      <c r="B230" s="361">
        <f t="shared" si="20"/>
        <v>0.90277777777777779</v>
      </c>
      <c r="C230" s="361" t="s">
        <v>43</v>
      </c>
      <c r="D230" s="332" t="s">
        <v>120</v>
      </c>
      <c r="F230" s="535" t="s">
        <v>25</v>
      </c>
      <c r="G230" s="363">
        <v>20.184000000000001</v>
      </c>
      <c r="H230" s="363">
        <v>23.776399999999999</v>
      </c>
      <c r="I230" s="365">
        <v>21.6113</v>
      </c>
      <c r="J230" s="364">
        <v>23.540199999999999</v>
      </c>
      <c r="K230" s="366">
        <v>24.465</v>
      </c>
      <c r="L230" s="367">
        <v>23.472000000000001</v>
      </c>
      <c r="R230" s="315" t="s">
        <v>68</v>
      </c>
      <c r="U230" s="510" t="s">
        <v>183</v>
      </c>
      <c r="V230" s="315">
        <v>-1E-4</v>
      </c>
      <c r="W230" s="315">
        <v>2.2000000000000001E-3</v>
      </c>
    </row>
    <row r="231" spans="1:26">
      <c r="A231" s="360">
        <v>45078</v>
      </c>
      <c r="B231" s="361">
        <f t="shared" si="20"/>
        <v>0.92638888888888893</v>
      </c>
      <c r="C231" s="361" t="s">
        <v>43</v>
      </c>
      <c r="D231" s="332" t="s">
        <v>184</v>
      </c>
      <c r="E231" s="317" t="s">
        <v>24</v>
      </c>
      <c r="F231" s="535" t="s">
        <v>25</v>
      </c>
      <c r="G231" s="363">
        <v>20.184000000000001</v>
      </c>
      <c r="H231" s="363">
        <v>23.776399999999999</v>
      </c>
      <c r="I231" s="365">
        <v>21.6113</v>
      </c>
      <c r="J231" s="364">
        <v>23.540199999999999</v>
      </c>
      <c r="K231" s="366">
        <v>24.44</v>
      </c>
      <c r="L231" s="367">
        <v>23.42</v>
      </c>
      <c r="M231" s="368">
        <v>-2147.4839999999999</v>
      </c>
      <c r="N231" s="368">
        <v>-65</v>
      </c>
      <c r="O231" s="368">
        <v>-60.018999999999998</v>
      </c>
      <c r="P231" s="368">
        <v>-2E-3</v>
      </c>
      <c r="Q231" s="369">
        <v>3.0000000000000001E-3</v>
      </c>
      <c r="R231" s="315" t="s">
        <v>68</v>
      </c>
      <c r="S231" s="315">
        <v>20</v>
      </c>
      <c r="T231" s="339">
        <v>4.0219259999999997</v>
      </c>
      <c r="U231" s="510" t="s">
        <v>185</v>
      </c>
      <c r="V231" s="341">
        <v>-4.0000000000000002E-4</v>
      </c>
      <c r="W231" s="341">
        <v>2.2000000000000001E-3</v>
      </c>
      <c r="X231" s="342"/>
      <c r="Y231" s="342"/>
    </row>
    <row r="232" spans="1:26">
      <c r="A232" s="360">
        <v>45078</v>
      </c>
      <c r="B232" s="361">
        <f t="shared" si="20"/>
        <v>0.91666666666666663</v>
      </c>
      <c r="C232" s="361" t="s">
        <v>43</v>
      </c>
      <c r="D232" s="332" t="s">
        <v>184</v>
      </c>
      <c r="E232" s="317" t="s">
        <v>24</v>
      </c>
      <c r="F232" s="542" t="s">
        <v>26</v>
      </c>
      <c r="G232" s="363">
        <v>20.184000000000001</v>
      </c>
      <c r="H232" s="363">
        <v>23.776399999999999</v>
      </c>
      <c r="I232" s="365">
        <v>21.6113</v>
      </c>
      <c r="J232" s="364">
        <v>23.540199999999999</v>
      </c>
      <c r="K232" s="366">
        <v>24.44</v>
      </c>
      <c r="L232" s="367">
        <v>23.42</v>
      </c>
      <c r="M232" s="368">
        <v>-2147.4839999999999</v>
      </c>
      <c r="N232" s="368">
        <v>-65</v>
      </c>
      <c r="O232" s="368">
        <v>-60.018999999999998</v>
      </c>
      <c r="P232" s="368">
        <v>-2E-3</v>
      </c>
      <c r="Q232" s="369">
        <v>3.0000000000000001E-3</v>
      </c>
      <c r="R232" s="315" t="s">
        <v>82</v>
      </c>
      <c r="T232" s="554">
        <f>T231-T62</f>
        <v>-5.4000000000442583E-5</v>
      </c>
      <c r="U232" s="510" t="s">
        <v>186</v>
      </c>
      <c r="V232" s="341"/>
      <c r="W232" s="341"/>
      <c r="X232" s="342">
        <v>810.66</v>
      </c>
      <c r="Y232" s="342">
        <v>601.65</v>
      </c>
    </row>
    <row r="233" spans="1:26">
      <c r="A233" s="360">
        <v>45078</v>
      </c>
      <c r="B233" s="361">
        <f t="shared" ref="B233:B234" si="21">IF(U233&lt;&gt;0,TIMEVALUE(LEFT(U233,2)&amp;":"&amp;MID(U233,3,2)),"")</f>
        <v>0.92986111111111114</v>
      </c>
      <c r="C233" s="361" t="s">
        <v>43</v>
      </c>
      <c r="D233" s="332" t="s">
        <v>184</v>
      </c>
      <c r="E233" s="317" t="s">
        <v>24</v>
      </c>
      <c r="F233" s="542" t="s">
        <v>31</v>
      </c>
      <c r="G233" s="363">
        <v>20.184000000000001</v>
      </c>
      <c r="H233" s="363">
        <v>23.776399999999999</v>
      </c>
      <c r="I233" s="365">
        <v>21.6113</v>
      </c>
      <c r="J233" s="364">
        <v>23.540199999999999</v>
      </c>
      <c r="K233" s="366">
        <v>24.44</v>
      </c>
      <c r="L233" s="367">
        <v>23.42</v>
      </c>
      <c r="M233" s="368">
        <v>101.51300000000001</v>
      </c>
      <c r="N233" s="368">
        <v>125.72799999999999</v>
      </c>
      <c r="O233" s="368">
        <v>-4.0000000000000001E-3</v>
      </c>
      <c r="P233" s="368">
        <v>0.1076</v>
      </c>
      <c r="Q233" s="369">
        <v>8.7599999999999997E-2</v>
      </c>
      <c r="R233" s="315" t="s">
        <v>68</v>
      </c>
      <c r="S233" s="315">
        <v>24</v>
      </c>
      <c r="T233" s="339">
        <v>3.4721549999999999</v>
      </c>
      <c r="U233" s="510" t="s">
        <v>187</v>
      </c>
      <c r="V233" s="315">
        <v>-8.0000000000000004E-4</v>
      </c>
      <c r="W233" s="315">
        <v>3.2000000000000002E-3</v>
      </c>
      <c r="Z233" s="333" t="s">
        <v>188</v>
      </c>
    </row>
    <row r="234" spans="1:26">
      <c r="A234" s="360">
        <v>45078</v>
      </c>
      <c r="B234" s="361">
        <f t="shared" si="21"/>
        <v>0.95416666666666661</v>
      </c>
      <c r="C234" s="361" t="s">
        <v>43</v>
      </c>
      <c r="D234" s="332" t="s">
        <v>184</v>
      </c>
      <c r="E234" s="317" t="s">
        <v>24</v>
      </c>
      <c r="F234" s="542" t="s">
        <v>32</v>
      </c>
      <c r="G234" s="363">
        <v>20.184000000000001</v>
      </c>
      <c r="H234" s="363">
        <v>23.776399999999999</v>
      </c>
      <c r="I234" s="365">
        <v>21.6113</v>
      </c>
      <c r="J234" s="364">
        <v>23.540199999999999</v>
      </c>
      <c r="K234" s="366">
        <v>24.44</v>
      </c>
      <c r="L234" s="367">
        <v>23.42</v>
      </c>
      <c r="M234" s="484">
        <v>88.893000000000001</v>
      </c>
      <c r="N234" s="484">
        <v>108.63500000000001</v>
      </c>
      <c r="O234" s="484">
        <v>-4.0000000000000001E-3</v>
      </c>
      <c r="P234" s="484">
        <v>0.10780000000000001</v>
      </c>
      <c r="Q234" s="485">
        <v>8.77E-2</v>
      </c>
      <c r="R234" s="514">
        <v>1132</v>
      </c>
      <c r="T234" s="554">
        <f>T233-T83</f>
        <v>-3.900000000012227E-5</v>
      </c>
      <c r="U234" s="510" t="s">
        <v>189</v>
      </c>
      <c r="X234" s="553">
        <v>810.69</v>
      </c>
      <c r="Y234" s="553">
        <v>601.72</v>
      </c>
    </row>
    <row r="235" spans="1:26">
      <c r="A235" s="360">
        <v>45078</v>
      </c>
      <c r="B235" s="361">
        <f t="shared" ref="B235:B236" si="22">IF(U235&lt;&gt;0,TIMEVALUE(LEFT(U235,2)&amp;":"&amp;MID(U235,3,2)),"")</f>
        <v>0.96875</v>
      </c>
      <c r="C235" s="361" t="s">
        <v>43</v>
      </c>
      <c r="D235" s="332" t="s">
        <v>184</v>
      </c>
      <c r="F235" s="542" t="s">
        <v>25</v>
      </c>
      <c r="G235" s="363">
        <v>20.184000000000001</v>
      </c>
      <c r="H235" s="363">
        <v>23.776399999999999</v>
      </c>
      <c r="I235" s="365">
        <v>21.6113</v>
      </c>
      <c r="J235" s="364">
        <v>23.540199999999999</v>
      </c>
      <c r="K235" s="366">
        <v>24.44</v>
      </c>
      <c r="L235" s="367">
        <v>23.42</v>
      </c>
      <c r="M235" s="368">
        <v>-2147.4839999999999</v>
      </c>
      <c r="N235" s="368">
        <v>-65</v>
      </c>
      <c r="O235" s="368">
        <v>-60.018999999999998</v>
      </c>
      <c r="P235" s="368">
        <v>-2E-3</v>
      </c>
      <c r="Q235" s="369">
        <v>3.0000000000000001E-3</v>
      </c>
      <c r="R235" s="315" t="s">
        <v>68</v>
      </c>
      <c r="S235" s="315">
        <v>21</v>
      </c>
      <c r="T235" s="339">
        <v>4.0219310000000004</v>
      </c>
      <c r="U235" s="510" t="s">
        <v>190</v>
      </c>
      <c r="V235" s="315">
        <v>2.9999999999999997E-4</v>
      </c>
      <c r="W235" s="315">
        <v>2.2000000000000001E-3</v>
      </c>
      <c r="Y235" s="553">
        <f>Y234-Y232</f>
        <v>7.0000000000050022E-2</v>
      </c>
    </row>
    <row r="236" spans="1:26" s="582" customFormat="1">
      <c r="A236" s="570">
        <v>45078</v>
      </c>
      <c r="B236" s="571">
        <f t="shared" si="22"/>
        <v>0.97083333333333333</v>
      </c>
      <c r="C236" s="571" t="s">
        <v>43</v>
      </c>
      <c r="D236" s="572" t="s">
        <v>184</v>
      </c>
      <c r="E236" s="573"/>
      <c r="F236" s="574" t="s">
        <v>26</v>
      </c>
      <c r="G236" s="575">
        <v>20.184000000000001</v>
      </c>
      <c r="H236" s="575">
        <v>23.776399999999999</v>
      </c>
      <c r="I236" s="576">
        <v>21.6113</v>
      </c>
      <c r="J236" s="577">
        <v>23.540199999999999</v>
      </c>
      <c r="K236" s="578">
        <v>24.44</v>
      </c>
      <c r="L236" s="579">
        <v>23.42</v>
      </c>
      <c r="M236" s="580">
        <v>-2147.4839999999999</v>
      </c>
      <c r="N236" s="580">
        <v>-65</v>
      </c>
      <c r="O236" s="580">
        <v>-60.018999999999998</v>
      </c>
      <c r="P236" s="580">
        <v>-2E-3</v>
      </c>
      <c r="Q236" s="581">
        <v>3.0000000000000001E-3</v>
      </c>
      <c r="R236" s="582" t="s">
        <v>82</v>
      </c>
      <c r="T236" s="583">
        <f>T235-T231</f>
        <v>5.0000000006988898E-6</v>
      </c>
      <c r="U236" s="584" t="s">
        <v>191</v>
      </c>
      <c r="X236" s="585">
        <v>810.68</v>
      </c>
      <c r="Y236" s="585">
        <v>600.79999999999995</v>
      </c>
      <c r="Z236" s="586"/>
    </row>
    <row r="237" spans="1:26">
      <c r="A237" s="360">
        <v>45080</v>
      </c>
      <c r="B237" s="361">
        <f t="shared" ref="B237:B254" si="23">IF(U237&lt;&gt;0,TIMEVALUE(LEFT(U237,2)&amp;":"&amp;MID(U237,3,2)),"")</f>
        <v>0.4055555555555555</v>
      </c>
      <c r="C237" s="361" t="s">
        <v>43</v>
      </c>
      <c r="D237" s="332" t="s">
        <v>110</v>
      </c>
      <c r="F237" s="542" t="s">
        <v>25</v>
      </c>
      <c r="G237" s="363">
        <v>20.184000000000001</v>
      </c>
      <c r="H237" s="363">
        <v>23.776399999999999</v>
      </c>
      <c r="I237" s="365">
        <v>21.6113</v>
      </c>
      <c r="J237" s="364">
        <v>23.540199999999999</v>
      </c>
      <c r="K237" s="366">
        <v>24.42</v>
      </c>
      <c r="L237" s="367">
        <v>23.41</v>
      </c>
      <c r="M237" s="368">
        <v>-2147.4839999999999</v>
      </c>
      <c r="N237" s="368">
        <v>-65</v>
      </c>
      <c r="O237" s="368">
        <v>-60.018999999999998</v>
      </c>
      <c r="P237" s="368">
        <v>-2E-3</v>
      </c>
      <c r="Q237" s="369">
        <v>3.0000000000000001E-3</v>
      </c>
      <c r="R237" s="315" t="s">
        <v>68</v>
      </c>
      <c r="S237" s="315">
        <v>16</v>
      </c>
      <c r="T237" s="587">
        <v>4.0219060000000004</v>
      </c>
      <c r="U237" s="510" t="s">
        <v>192</v>
      </c>
      <c r="V237" s="315">
        <v>-2.8E-3</v>
      </c>
      <c r="W237" s="315">
        <v>-3.8100000000000002E-2</v>
      </c>
      <c r="Z237" s="333" t="s">
        <v>193</v>
      </c>
    </row>
    <row r="238" spans="1:26">
      <c r="A238" s="360">
        <v>45080</v>
      </c>
      <c r="B238" s="361">
        <f t="shared" si="23"/>
        <v>0.41180555555555554</v>
      </c>
      <c r="C238" s="361" t="s">
        <v>43</v>
      </c>
      <c r="D238" s="332" t="s">
        <v>194</v>
      </c>
      <c r="F238" s="542" t="s">
        <v>26</v>
      </c>
      <c r="G238" s="363">
        <v>20.184000000000001</v>
      </c>
      <c r="H238" s="363">
        <v>23.797999999999998</v>
      </c>
      <c r="I238" s="365">
        <v>21.6113</v>
      </c>
      <c r="J238" s="364">
        <v>23.540199999999999</v>
      </c>
      <c r="K238" s="366">
        <v>24.42</v>
      </c>
      <c r="L238" s="367">
        <v>23.41</v>
      </c>
      <c r="R238" s="315" t="s">
        <v>82</v>
      </c>
      <c r="U238" s="510" t="s">
        <v>195</v>
      </c>
      <c r="X238" s="322">
        <v>807.596</v>
      </c>
      <c r="Y238" s="322">
        <v>601.73900000000003</v>
      </c>
      <c r="Z238" s="333" t="s">
        <v>196</v>
      </c>
    </row>
    <row r="239" spans="1:26">
      <c r="A239" s="360">
        <v>45080</v>
      </c>
      <c r="B239" s="361">
        <f t="shared" si="23"/>
        <v>0.42083333333333334</v>
      </c>
      <c r="C239" s="361" t="s">
        <v>43</v>
      </c>
      <c r="D239" s="332" t="s">
        <v>194</v>
      </c>
      <c r="F239" s="542" t="s">
        <v>25</v>
      </c>
      <c r="G239" s="363">
        <v>20.184000000000001</v>
      </c>
      <c r="H239" s="363">
        <v>23.797999999999998</v>
      </c>
      <c r="I239" s="365">
        <v>21.6113</v>
      </c>
      <c r="J239" s="364">
        <v>23.540199999999999</v>
      </c>
      <c r="K239" s="366">
        <v>24.42</v>
      </c>
      <c r="L239" s="367">
        <v>23.41</v>
      </c>
      <c r="R239" s="315" t="s">
        <v>68</v>
      </c>
      <c r="U239" s="510" t="s">
        <v>197</v>
      </c>
      <c r="V239" s="315">
        <v>-2.9999999999999997E-4</v>
      </c>
      <c r="W239" s="315">
        <v>-2E-3</v>
      </c>
      <c r="Z239" s="333" t="s">
        <v>198</v>
      </c>
    </row>
    <row r="240" spans="1:26">
      <c r="A240" s="360">
        <v>45080</v>
      </c>
      <c r="B240" s="361">
        <f t="shared" si="23"/>
        <v>0.4236111111111111</v>
      </c>
      <c r="C240" s="361" t="s">
        <v>43</v>
      </c>
      <c r="D240" s="332" t="s">
        <v>120</v>
      </c>
      <c r="F240" s="542" t="s">
        <v>26</v>
      </c>
      <c r="G240" s="363">
        <v>20.184000000000001</v>
      </c>
      <c r="H240" s="363">
        <v>23.797999999999998</v>
      </c>
      <c r="I240" s="365">
        <v>21.6113</v>
      </c>
      <c r="J240" s="364">
        <v>23.540199999999999</v>
      </c>
      <c r="K240" s="366">
        <v>24.42</v>
      </c>
      <c r="L240" s="367">
        <v>23.41</v>
      </c>
      <c r="R240" s="315" t="s">
        <v>82</v>
      </c>
      <c r="U240" s="510" t="s">
        <v>199</v>
      </c>
      <c r="X240" s="322">
        <v>807.77800000000002</v>
      </c>
      <c r="Y240" s="322">
        <v>600.66700000000003</v>
      </c>
    </row>
    <row r="241" spans="1:26">
      <c r="A241" s="360">
        <v>45080</v>
      </c>
      <c r="B241" s="361">
        <f t="shared" si="23"/>
        <v>0.43611111111111112</v>
      </c>
      <c r="C241" s="361" t="s">
        <v>43</v>
      </c>
      <c r="D241" s="332" t="s">
        <v>120</v>
      </c>
      <c r="F241" s="542" t="s">
        <v>25</v>
      </c>
      <c r="G241" s="363">
        <v>20.184000000000001</v>
      </c>
      <c r="H241" s="363">
        <v>23.797999999999998</v>
      </c>
      <c r="I241" s="365">
        <v>21.6113</v>
      </c>
      <c r="J241" s="364">
        <v>23.540199999999999</v>
      </c>
      <c r="K241" s="366">
        <v>24.42</v>
      </c>
      <c r="L241" s="367">
        <v>23.41</v>
      </c>
      <c r="R241" s="315" t="s">
        <v>68</v>
      </c>
      <c r="U241" s="510" t="s">
        <v>200</v>
      </c>
      <c r="V241" s="315">
        <v>-2.5000000000000001E-3</v>
      </c>
      <c r="W241" s="315">
        <v>1E-4</v>
      </c>
      <c r="X241" s="588">
        <f>X240-X$238</f>
        <v>0.18200000000001637</v>
      </c>
      <c r="Y241" s="588">
        <f>Y240-Y$238</f>
        <v>-1.0720000000000027</v>
      </c>
    </row>
    <row r="242" spans="1:26">
      <c r="A242" s="360">
        <v>45080</v>
      </c>
      <c r="B242" s="361">
        <f t="shared" si="23"/>
        <v>0.43472222222222223</v>
      </c>
      <c r="C242" s="361" t="s">
        <v>43</v>
      </c>
      <c r="D242" s="332" t="s">
        <v>120</v>
      </c>
      <c r="F242" s="542" t="s">
        <v>26</v>
      </c>
      <c r="G242" s="363">
        <v>20.184000000000001</v>
      </c>
      <c r="H242" s="363">
        <v>23.797999999999998</v>
      </c>
      <c r="I242" s="365">
        <v>21.6113</v>
      </c>
      <c r="J242" s="364">
        <v>23.540199999999999</v>
      </c>
      <c r="K242" s="366">
        <v>24.42</v>
      </c>
      <c r="L242" s="367">
        <v>23.41</v>
      </c>
      <c r="R242" s="315" t="s">
        <v>82</v>
      </c>
      <c r="U242" s="510" t="s">
        <v>201</v>
      </c>
      <c r="X242" s="322">
        <v>808.74</v>
      </c>
      <c r="Y242" s="322">
        <v>599.64</v>
      </c>
    </row>
    <row r="243" spans="1:26">
      <c r="A243" s="360">
        <v>45080</v>
      </c>
      <c r="B243" s="361">
        <f t="shared" si="23"/>
        <v>0.4458333333333333</v>
      </c>
      <c r="C243" s="361" t="s">
        <v>43</v>
      </c>
      <c r="D243" s="332" t="s">
        <v>120</v>
      </c>
      <c r="F243" s="542" t="s">
        <v>25</v>
      </c>
      <c r="G243" s="363">
        <v>20.184000000000001</v>
      </c>
      <c r="H243" s="363">
        <v>23.797999999999998</v>
      </c>
      <c r="I243" s="365">
        <v>21.6113</v>
      </c>
      <c r="J243" s="364">
        <v>23.540199999999999</v>
      </c>
      <c r="K243" s="366">
        <v>24.42</v>
      </c>
      <c r="L243" s="367">
        <v>23.41</v>
      </c>
      <c r="R243" s="315" t="s">
        <v>68</v>
      </c>
      <c r="U243" s="510" t="s">
        <v>202</v>
      </c>
      <c r="V243" s="315">
        <v>-2.8E-3</v>
      </c>
      <c r="W243" s="315">
        <v>4.0000000000000002E-4</v>
      </c>
      <c r="X243" s="588">
        <f>X242-X$242</f>
        <v>0</v>
      </c>
      <c r="Y243" s="588">
        <f>Y242-Y$242</f>
        <v>0</v>
      </c>
    </row>
    <row r="244" spans="1:26">
      <c r="A244" s="360">
        <v>45080</v>
      </c>
      <c r="B244" s="361">
        <f t="shared" si="23"/>
        <v>0.4465277777777778</v>
      </c>
      <c r="C244" s="361" t="s">
        <v>43</v>
      </c>
      <c r="D244" s="332" t="s">
        <v>120</v>
      </c>
      <c r="F244" s="542" t="s">
        <v>26</v>
      </c>
      <c r="G244" s="363">
        <v>20.184000000000001</v>
      </c>
      <c r="H244" s="363">
        <v>23.797999999999998</v>
      </c>
      <c r="I244" s="365">
        <v>21.6113</v>
      </c>
      <c r="J244" s="364">
        <v>23.540199999999999</v>
      </c>
      <c r="K244" s="366">
        <v>24.42</v>
      </c>
      <c r="L244" s="367">
        <v>23.41</v>
      </c>
      <c r="R244" s="315" t="s">
        <v>82</v>
      </c>
      <c r="U244" s="510" t="s">
        <v>203</v>
      </c>
      <c r="X244" s="322">
        <v>808.83</v>
      </c>
      <c r="Y244" s="322">
        <v>598.79999999999995</v>
      </c>
    </row>
    <row r="245" spans="1:26">
      <c r="A245" s="360">
        <v>45080</v>
      </c>
      <c r="B245" s="361">
        <f t="shared" si="23"/>
        <v>0.45347222222222222</v>
      </c>
      <c r="C245" s="361" t="s">
        <v>43</v>
      </c>
      <c r="D245" s="332" t="s">
        <v>120</v>
      </c>
      <c r="F245" s="542" t="s">
        <v>25</v>
      </c>
      <c r="G245" s="363">
        <v>20.184000000000001</v>
      </c>
      <c r="H245" s="363">
        <v>23.797999999999998</v>
      </c>
      <c r="I245" s="365">
        <v>21.6113</v>
      </c>
      <c r="J245" s="364">
        <v>23.540199999999999</v>
      </c>
      <c r="K245" s="366">
        <v>24.42</v>
      </c>
      <c r="L245" s="367">
        <v>23.41</v>
      </c>
      <c r="R245" s="315" t="s">
        <v>68</v>
      </c>
      <c r="U245" s="510" t="s">
        <v>204</v>
      </c>
      <c r="V245" s="315">
        <v>-2.8E-3</v>
      </c>
      <c r="W245" s="315">
        <v>4.0000000000000002E-4</v>
      </c>
      <c r="X245" s="588">
        <f>X244-X$242</f>
        <v>9.0000000000031832E-2</v>
      </c>
      <c r="Y245" s="588">
        <f>Y244-Y$242</f>
        <v>-0.84000000000003183</v>
      </c>
    </row>
    <row r="246" spans="1:26">
      <c r="A246" s="360">
        <v>45080</v>
      </c>
      <c r="B246" s="361">
        <f t="shared" si="23"/>
        <v>0.45277777777777778</v>
      </c>
      <c r="C246" s="361" t="s">
        <v>43</v>
      </c>
      <c r="D246" s="332" t="s">
        <v>120</v>
      </c>
      <c r="F246" s="542" t="s">
        <v>26</v>
      </c>
      <c r="G246" s="363">
        <v>20.184000000000001</v>
      </c>
      <c r="H246" s="363">
        <v>23.797999999999998</v>
      </c>
      <c r="I246" s="365">
        <v>21.6113</v>
      </c>
      <c r="J246" s="364">
        <v>23.540199999999999</v>
      </c>
      <c r="K246" s="366">
        <v>24.42</v>
      </c>
      <c r="L246" s="367">
        <v>23.41</v>
      </c>
      <c r="R246" s="315" t="s">
        <v>82</v>
      </c>
      <c r="U246" s="510" t="s">
        <v>205</v>
      </c>
      <c r="X246" s="322">
        <v>808.79300000000001</v>
      </c>
      <c r="Y246" s="322">
        <v>599.55999999999995</v>
      </c>
    </row>
    <row r="247" spans="1:26">
      <c r="A247" s="360">
        <v>45080</v>
      </c>
      <c r="B247" s="361">
        <f t="shared" si="23"/>
        <v>0.45347222222222222</v>
      </c>
      <c r="C247" s="361" t="s">
        <v>43</v>
      </c>
      <c r="D247" s="332" t="s">
        <v>206</v>
      </c>
      <c r="E247" s="317" t="s">
        <v>24</v>
      </c>
      <c r="F247" s="542" t="s">
        <v>25</v>
      </c>
      <c r="G247" s="363">
        <v>20.184000000000001</v>
      </c>
      <c r="H247" s="363">
        <v>23.797999999999998</v>
      </c>
      <c r="I247" s="365">
        <v>21.6113</v>
      </c>
      <c r="J247" s="364">
        <v>23.540199999999999</v>
      </c>
      <c r="K247" s="366">
        <v>24.434999999999999</v>
      </c>
      <c r="L247" s="367">
        <v>23.41</v>
      </c>
      <c r="M247" s="368">
        <v>-2147.4839999999999</v>
      </c>
      <c r="N247" s="368">
        <v>-65</v>
      </c>
      <c r="O247" s="368">
        <v>-60.018999999999998</v>
      </c>
      <c r="P247" s="368">
        <v>-2E-3</v>
      </c>
      <c r="Q247" s="369">
        <v>3.0000000000000001E-3</v>
      </c>
      <c r="R247" s="315" t="s">
        <v>68</v>
      </c>
      <c r="S247" s="315">
        <v>15</v>
      </c>
      <c r="T247" s="339">
        <v>4.021916</v>
      </c>
      <c r="U247" s="510" t="s">
        <v>204</v>
      </c>
      <c r="V247" s="589">
        <v>-3.2000000000000002E-3</v>
      </c>
      <c r="W247" s="589">
        <v>4.0000000000000002E-4</v>
      </c>
      <c r="X247" s="588">
        <f>X246-X$242</f>
        <v>5.2999999999997272E-2</v>
      </c>
      <c r="Y247" s="588">
        <f>Y246-Y$242</f>
        <v>-8.0000000000040927E-2</v>
      </c>
    </row>
    <row r="248" spans="1:26">
      <c r="A248" s="360">
        <v>45080</v>
      </c>
      <c r="B248" s="361">
        <f t="shared" si="23"/>
        <v>0.47500000000000003</v>
      </c>
      <c r="C248" s="361" t="s">
        <v>43</v>
      </c>
      <c r="D248" s="332" t="s">
        <v>206</v>
      </c>
      <c r="E248" s="317" t="s">
        <v>24</v>
      </c>
      <c r="F248" s="542" t="s">
        <v>26</v>
      </c>
      <c r="G248" s="363">
        <v>20.184000000000001</v>
      </c>
      <c r="H248" s="363">
        <v>23.797999999999998</v>
      </c>
      <c r="I248" s="365">
        <v>21.6113</v>
      </c>
      <c r="J248" s="364">
        <v>23.540199999999999</v>
      </c>
      <c r="K248" s="366">
        <v>24.434999999999999</v>
      </c>
      <c r="L248" s="367">
        <v>23.41</v>
      </c>
      <c r="M248" s="368">
        <v>-2147.4839999999999</v>
      </c>
      <c r="N248" s="368">
        <v>-65</v>
      </c>
      <c r="O248" s="368">
        <v>-60.018999999999998</v>
      </c>
      <c r="P248" s="368">
        <v>-2E-3</v>
      </c>
      <c r="Q248" s="369">
        <v>3.0000000000000001E-3</v>
      </c>
      <c r="R248" s="315" t="s">
        <v>82</v>
      </c>
      <c r="U248" s="510" t="s">
        <v>207</v>
      </c>
      <c r="X248" s="342">
        <v>808.8</v>
      </c>
      <c r="Y248" s="342">
        <v>599.6</v>
      </c>
    </row>
    <row r="249" spans="1:26">
      <c r="A249" s="360">
        <v>45080</v>
      </c>
      <c r="B249" s="361">
        <f t="shared" si="23"/>
        <v>0.47500000000000003</v>
      </c>
      <c r="C249" s="361" t="s">
        <v>43</v>
      </c>
      <c r="D249" s="332" t="s">
        <v>206</v>
      </c>
      <c r="E249" s="317" t="s">
        <v>24</v>
      </c>
      <c r="F249" s="542" t="s">
        <v>31</v>
      </c>
      <c r="G249" s="363">
        <v>20.184000000000001</v>
      </c>
      <c r="H249" s="363">
        <v>23.797999999999998</v>
      </c>
      <c r="I249" s="365">
        <v>21.6113</v>
      </c>
      <c r="J249" s="364">
        <v>23.540199999999999</v>
      </c>
      <c r="K249" s="366">
        <v>24.434999999999999</v>
      </c>
      <c r="L249" s="367">
        <v>23.41</v>
      </c>
      <c r="M249" s="368">
        <v>101.51300000000001</v>
      </c>
      <c r="N249" s="368">
        <v>125.72799999999999</v>
      </c>
      <c r="O249" s="368">
        <v>1E-3</v>
      </c>
      <c r="P249" s="368">
        <v>0.1076</v>
      </c>
      <c r="Q249" s="369">
        <v>8.77E-2</v>
      </c>
      <c r="R249" s="315" t="s">
        <v>68</v>
      </c>
      <c r="S249" s="315">
        <v>31</v>
      </c>
      <c r="T249" s="339">
        <v>3.4721479999999998</v>
      </c>
      <c r="U249" s="510" t="s">
        <v>207</v>
      </c>
      <c r="V249" s="315">
        <v>-3.8999999999999998E-3</v>
      </c>
      <c r="W249" s="315">
        <v>8.0000000000000004E-4</v>
      </c>
      <c r="X249" s="588">
        <f>X248-X$242</f>
        <v>5.999999999994543E-2</v>
      </c>
      <c r="Y249" s="588">
        <f>Y248-Y$242</f>
        <v>-3.999999999996362E-2</v>
      </c>
    </row>
    <row r="250" spans="1:26">
      <c r="A250" s="360">
        <v>45080</v>
      </c>
      <c r="B250" s="361">
        <f t="shared" si="23"/>
        <v>0.50972222222222219</v>
      </c>
      <c r="C250" s="361" t="s">
        <v>43</v>
      </c>
      <c r="D250" s="332" t="s">
        <v>206</v>
      </c>
      <c r="E250" s="317" t="s">
        <v>24</v>
      </c>
      <c r="F250" s="542" t="s">
        <v>32</v>
      </c>
      <c r="G250" s="363">
        <v>20.184000000000001</v>
      </c>
      <c r="H250" s="363">
        <v>23.797999999999998</v>
      </c>
      <c r="I250" s="365">
        <v>21.6113</v>
      </c>
      <c r="J250" s="364">
        <v>23.540199999999999</v>
      </c>
      <c r="K250" s="366">
        <v>24.434999999999999</v>
      </c>
      <c r="L250" s="367">
        <v>23.41</v>
      </c>
      <c r="M250" s="484">
        <v>88.893000000000001</v>
      </c>
      <c r="N250" s="484">
        <v>108.63500000000001</v>
      </c>
      <c r="O250" s="484">
        <v>-4.0000000000000001E-3</v>
      </c>
      <c r="P250" s="484">
        <v>0.10780000000000001</v>
      </c>
      <c r="Q250" s="485">
        <v>8.77E-2</v>
      </c>
      <c r="R250" s="514">
        <v>1132</v>
      </c>
      <c r="U250" s="510" t="s">
        <v>208</v>
      </c>
      <c r="V250" s="590">
        <f>V249-V247</f>
        <v>-6.9999999999999967E-4</v>
      </c>
      <c r="W250" s="590">
        <f>W249-W247</f>
        <v>4.0000000000000002E-4</v>
      </c>
      <c r="X250" s="322">
        <v>808.8</v>
      </c>
      <c r="Y250" s="322">
        <v>599.9</v>
      </c>
    </row>
    <row r="251" spans="1:26">
      <c r="A251" s="360">
        <v>45080</v>
      </c>
      <c r="B251" s="361">
        <f t="shared" si="23"/>
        <v>0.53541666666666665</v>
      </c>
      <c r="C251" s="361" t="s">
        <v>43</v>
      </c>
      <c r="D251" s="332" t="s">
        <v>206</v>
      </c>
      <c r="E251" s="317" t="s">
        <v>24</v>
      </c>
      <c r="F251" s="542" t="s">
        <v>25</v>
      </c>
      <c r="G251" s="363">
        <v>20.184000000000001</v>
      </c>
      <c r="H251" s="363">
        <v>23.797999999999998</v>
      </c>
      <c r="I251" s="365">
        <v>21.6113</v>
      </c>
      <c r="J251" s="364">
        <v>23.540199999999999</v>
      </c>
      <c r="K251" s="366">
        <v>24.434999999999999</v>
      </c>
      <c r="L251" s="367">
        <v>23.41</v>
      </c>
      <c r="M251" s="368">
        <v>-2147.4839999999999</v>
      </c>
      <c r="N251" s="368">
        <v>-65</v>
      </c>
      <c r="O251" s="368">
        <v>-60.018999999999998</v>
      </c>
      <c r="P251" s="368">
        <v>-2E-3</v>
      </c>
      <c r="Q251" s="369">
        <v>3.0000000000000001E-3</v>
      </c>
      <c r="R251" s="315" t="str">
        <f>IF(OR(ISNUMBER(FIND("mirror",$F251)),ISNUMBER(FIND("retro",$F251))),"0,20",(IF(ISNUMBER(FIND("sMATF LED",$F251)),"1,76","")))</f>
        <v>0,20</v>
      </c>
      <c r="S251" s="315">
        <v>17</v>
      </c>
      <c r="T251" s="339">
        <v>4.0219120000000004</v>
      </c>
      <c r="U251" s="510" t="s">
        <v>209</v>
      </c>
      <c r="V251" s="315">
        <v>-2.8E-3</v>
      </c>
      <c r="W251" s="315">
        <v>4.0000000000000002E-4</v>
      </c>
      <c r="X251" s="588">
        <f>X250-X$248</f>
        <v>0</v>
      </c>
      <c r="Y251" s="588">
        <f>Y250-Y$248</f>
        <v>0.29999999999995453</v>
      </c>
    </row>
    <row r="252" spans="1:26" s="329" customFormat="1" ht="16.149999999999999" thickBot="1">
      <c r="A252" s="434">
        <v>45080</v>
      </c>
      <c r="B252" s="435">
        <f t="shared" si="23"/>
        <v>0.53263888888888888</v>
      </c>
      <c r="C252" s="435" t="s">
        <v>43</v>
      </c>
      <c r="D252" s="556" t="s">
        <v>206</v>
      </c>
      <c r="E252" s="324" t="s">
        <v>24</v>
      </c>
      <c r="F252" s="555" t="s">
        <v>26</v>
      </c>
      <c r="G252" s="418">
        <v>20.184000000000001</v>
      </c>
      <c r="H252" s="418">
        <v>23.797999999999998</v>
      </c>
      <c r="I252" s="420">
        <v>21.6113</v>
      </c>
      <c r="J252" s="419">
        <v>23.540199999999999</v>
      </c>
      <c r="K252" s="421">
        <v>24.434999999999999</v>
      </c>
      <c r="L252" s="422">
        <v>23.41</v>
      </c>
      <c r="M252" s="423">
        <v>-2147.4839999999999</v>
      </c>
      <c r="N252" s="423">
        <v>-65</v>
      </c>
      <c r="O252" s="423">
        <v>-60.018999999999998</v>
      </c>
      <c r="P252" s="423">
        <v>-2E-3</v>
      </c>
      <c r="Q252" s="424">
        <v>3.0000000000000001E-3</v>
      </c>
      <c r="R252" s="592" t="str">
        <f t="shared" ref="R252:R268" si="24">IF(OR(ISNUMBER(FIND("mirror",$F252)),ISNUMBER(FIND("retro",$F252))),"0,20",(IF(ISNUMBER(FIND("sMATF LED",$F252)),"1,76","")))</f>
        <v>1,76</v>
      </c>
      <c r="S252" s="329" t="str">
        <f>IF(ISNUMBER(FIND("sMATF LED",$F251)),"1,76","")</f>
        <v/>
      </c>
      <c r="T252" s="340"/>
      <c r="U252" s="511" t="s">
        <v>210</v>
      </c>
      <c r="X252" s="330">
        <v>808.8</v>
      </c>
      <c r="Y252" s="330">
        <v>598.9</v>
      </c>
      <c r="Z252" s="334"/>
    </row>
    <row r="253" spans="1:26">
      <c r="A253" s="360">
        <v>45080</v>
      </c>
      <c r="B253" s="361">
        <f t="shared" si="23"/>
        <v>0.62708333333333333</v>
      </c>
      <c r="C253" s="361" t="s">
        <v>43</v>
      </c>
      <c r="D253" s="332" t="s">
        <v>194</v>
      </c>
      <c r="F253" s="542" t="s">
        <v>25</v>
      </c>
      <c r="G253" s="363">
        <v>20.1892</v>
      </c>
      <c r="H253" s="363">
        <v>23.798400000000001</v>
      </c>
      <c r="I253" s="365">
        <v>21.6113</v>
      </c>
      <c r="J253" s="364">
        <v>23.540199999999999</v>
      </c>
      <c r="K253" s="366">
        <v>24.425000000000001</v>
      </c>
      <c r="L253" s="367">
        <v>23.414999999999999</v>
      </c>
      <c r="M253" s="368">
        <v>-2147.4839999999999</v>
      </c>
      <c r="N253" s="368">
        <v>-65</v>
      </c>
      <c r="O253" s="368">
        <v>-60.018999999999998</v>
      </c>
      <c r="P253" s="368">
        <v>-2E-3</v>
      </c>
      <c r="Q253" s="369">
        <v>3.0000000000000001E-3</v>
      </c>
      <c r="R253" s="315" t="str">
        <f t="shared" si="24"/>
        <v>0,20</v>
      </c>
      <c r="S253" s="315">
        <v>15</v>
      </c>
      <c r="T253" s="339">
        <v>4.021909</v>
      </c>
      <c r="U253" s="510" t="s">
        <v>211</v>
      </c>
      <c r="V253" s="315">
        <v>2E-3</v>
      </c>
      <c r="W253" s="315">
        <v>-2.3999999999999998E-3</v>
      </c>
      <c r="X253" s="588">
        <f>X252-X$248</f>
        <v>0</v>
      </c>
      <c r="Y253" s="588">
        <f>Y252-Y$248</f>
        <v>-0.70000000000004547</v>
      </c>
      <c r="Z253" s="333" t="s">
        <v>212</v>
      </c>
    </row>
    <row r="254" spans="1:26">
      <c r="A254" s="360">
        <v>45080</v>
      </c>
      <c r="B254" s="361">
        <f t="shared" si="23"/>
        <v>0.62569444444444444</v>
      </c>
      <c r="C254" s="361" t="s">
        <v>43</v>
      </c>
      <c r="D254" s="332" t="s">
        <v>194</v>
      </c>
      <c r="F254" s="542" t="s">
        <v>26</v>
      </c>
      <c r="G254" s="363">
        <v>20.1892</v>
      </c>
      <c r="H254" s="363">
        <v>23.798400000000001</v>
      </c>
      <c r="I254" s="365">
        <v>21.6113</v>
      </c>
      <c r="J254" s="364">
        <v>23.540199999999999</v>
      </c>
      <c r="K254" s="366">
        <v>24.425000000000001</v>
      </c>
      <c r="L254" s="367">
        <v>23.414999999999999</v>
      </c>
      <c r="R254" s="315" t="str">
        <f t="shared" si="24"/>
        <v>1,76</v>
      </c>
      <c r="U254" s="510" t="s">
        <v>213</v>
      </c>
      <c r="X254" s="322">
        <v>807.57</v>
      </c>
      <c r="Y254" s="322">
        <v>601.66</v>
      </c>
      <c r="Z254" s="333" t="s">
        <v>214</v>
      </c>
    </row>
    <row r="255" spans="1:26">
      <c r="A255" s="360">
        <v>45080</v>
      </c>
      <c r="B255" s="361">
        <f t="shared" ref="B255:B262" si="25">IF(U255&lt;&gt;0,TIMEVALUE(LEFT(U255,2)&amp;":"&amp;MID(U255,3,2)),"")</f>
        <v>0.64513888888888882</v>
      </c>
      <c r="C255" s="361" t="s">
        <v>43</v>
      </c>
      <c r="D255" s="332" t="s">
        <v>120</v>
      </c>
      <c r="F255" s="542" t="s">
        <v>25</v>
      </c>
      <c r="G255" s="363">
        <v>20.1892</v>
      </c>
      <c r="H255" s="363">
        <v>23.798400000000001</v>
      </c>
      <c r="I255" s="365">
        <v>21.6113</v>
      </c>
      <c r="J255" s="364">
        <v>23.540199999999999</v>
      </c>
      <c r="K255" s="366">
        <v>24.425000000000001</v>
      </c>
      <c r="L255" s="367">
        <v>23.414999999999999</v>
      </c>
      <c r="R255" s="315" t="str">
        <f t="shared" si="24"/>
        <v>0,20</v>
      </c>
      <c r="U255" s="510" t="s">
        <v>215</v>
      </c>
      <c r="V255" s="315">
        <v>2.9999999999999997E-4</v>
      </c>
      <c r="W255" s="315">
        <v>1E-4</v>
      </c>
    </row>
    <row r="256" spans="1:26">
      <c r="A256" s="360">
        <v>45080</v>
      </c>
      <c r="B256" s="361">
        <f t="shared" si="25"/>
        <v>0.64583333333333337</v>
      </c>
      <c r="C256" s="361" t="s">
        <v>43</v>
      </c>
      <c r="D256" s="332" t="s">
        <v>120</v>
      </c>
      <c r="F256" s="542" t="s">
        <v>26</v>
      </c>
      <c r="G256" s="363">
        <v>20.1892</v>
      </c>
      <c r="H256" s="363">
        <v>23.798400000000001</v>
      </c>
      <c r="I256" s="365">
        <v>21.6113</v>
      </c>
      <c r="J256" s="364">
        <v>23.540199999999999</v>
      </c>
      <c r="K256" s="366">
        <v>24.425000000000001</v>
      </c>
      <c r="L256" s="367">
        <v>23.414999999999999</v>
      </c>
      <c r="R256" s="315" t="str">
        <f t="shared" si="24"/>
        <v>1,76</v>
      </c>
      <c r="U256" s="510" t="s">
        <v>216</v>
      </c>
      <c r="X256" s="322">
        <v>807.67</v>
      </c>
      <c r="Y256" s="322">
        <v>601.59</v>
      </c>
    </row>
    <row r="257" spans="1:26">
      <c r="A257" s="360">
        <v>45080</v>
      </c>
      <c r="B257" s="361">
        <f t="shared" si="25"/>
        <v>0.65347222222222223</v>
      </c>
      <c r="C257" s="361" t="s">
        <v>43</v>
      </c>
      <c r="D257" s="332" t="s">
        <v>120</v>
      </c>
      <c r="F257" s="542" t="s">
        <v>25</v>
      </c>
      <c r="G257" s="363">
        <v>20.1892</v>
      </c>
      <c r="H257" s="363">
        <v>23.798400000000001</v>
      </c>
      <c r="I257" s="365">
        <v>21.6113</v>
      </c>
      <c r="J257" s="364">
        <v>23.540199999999999</v>
      </c>
      <c r="K257" s="366">
        <v>24.425000000000001</v>
      </c>
      <c r="L257" s="367">
        <v>23.414999999999999</v>
      </c>
      <c r="R257" s="315" t="str">
        <f t="shared" si="24"/>
        <v>0,20</v>
      </c>
      <c r="U257" s="510" t="s">
        <v>217</v>
      </c>
      <c r="V257" s="315">
        <v>2.9999999999999997E-4</v>
      </c>
      <c r="W257" s="315">
        <v>1E-4</v>
      </c>
    </row>
    <row r="258" spans="1:26">
      <c r="A258" s="360">
        <v>45080</v>
      </c>
      <c r="B258" s="361">
        <f t="shared" si="25"/>
        <v>0.65208333333333335</v>
      </c>
      <c r="C258" s="361" t="s">
        <v>43</v>
      </c>
      <c r="D258" s="332" t="s">
        <v>120</v>
      </c>
      <c r="F258" s="542" t="s">
        <v>26</v>
      </c>
      <c r="G258" s="363">
        <v>20.1892</v>
      </c>
      <c r="H258" s="363">
        <v>23.798400000000001</v>
      </c>
      <c r="I258" s="365">
        <v>21.6113</v>
      </c>
      <c r="J258" s="364">
        <v>23.540199999999999</v>
      </c>
      <c r="K258" s="366">
        <v>24.425000000000001</v>
      </c>
      <c r="L258" s="367">
        <v>23.414999999999999</v>
      </c>
      <c r="R258" s="315" t="str">
        <f t="shared" si="24"/>
        <v>1,76</v>
      </c>
      <c r="U258" s="510" t="s">
        <v>218</v>
      </c>
      <c r="X258" s="322">
        <v>808.58</v>
      </c>
      <c r="Y258" s="322">
        <v>601.62</v>
      </c>
    </row>
    <row r="259" spans="1:26">
      <c r="A259" s="360">
        <v>45080</v>
      </c>
      <c r="B259" s="361">
        <f t="shared" si="25"/>
        <v>0.65763888888888888</v>
      </c>
      <c r="C259" s="361" t="s">
        <v>43</v>
      </c>
      <c r="D259" s="332" t="s">
        <v>120</v>
      </c>
      <c r="F259" s="542" t="s">
        <v>25</v>
      </c>
      <c r="G259" s="363">
        <v>20.1892</v>
      </c>
      <c r="H259" s="363">
        <v>23.798400000000001</v>
      </c>
      <c r="I259" s="365">
        <v>21.6113</v>
      </c>
      <c r="J259" s="364">
        <v>23.540199999999999</v>
      </c>
      <c r="K259" s="366">
        <v>24.425000000000001</v>
      </c>
      <c r="L259" s="367">
        <v>23.414999999999999</v>
      </c>
      <c r="R259" s="315" t="str">
        <f t="shared" si="24"/>
        <v>0,20</v>
      </c>
      <c r="U259" s="510" t="s">
        <v>219</v>
      </c>
      <c r="V259" s="315">
        <v>2.9999999999999997E-4</v>
      </c>
      <c r="W259" s="315">
        <v>1E-4</v>
      </c>
    </row>
    <row r="260" spans="1:26">
      <c r="A260" s="360">
        <v>45080</v>
      </c>
      <c r="B260" s="361">
        <f t="shared" si="25"/>
        <v>0.65833333333333333</v>
      </c>
      <c r="C260" s="361" t="s">
        <v>43</v>
      </c>
      <c r="D260" s="332" t="s">
        <v>120</v>
      </c>
      <c r="F260" s="542" t="s">
        <v>26</v>
      </c>
      <c r="G260" s="363">
        <v>20.1892</v>
      </c>
      <c r="H260" s="363">
        <v>23.798400000000001</v>
      </c>
      <c r="I260" s="365">
        <v>21.6113</v>
      </c>
      <c r="J260" s="364">
        <v>23.540199999999999</v>
      </c>
      <c r="K260" s="366">
        <v>24.425000000000001</v>
      </c>
      <c r="L260" s="367">
        <v>23.414999999999999</v>
      </c>
      <c r="R260" s="315" t="str">
        <f t="shared" si="24"/>
        <v>1,76</v>
      </c>
      <c r="U260" s="510" t="s">
        <v>220</v>
      </c>
      <c r="X260" s="322">
        <v>808.54</v>
      </c>
      <c r="Y260" s="322">
        <v>601.6</v>
      </c>
    </row>
    <row r="261" spans="1:26">
      <c r="A261" s="360">
        <v>45080</v>
      </c>
      <c r="B261" s="361">
        <f t="shared" si="25"/>
        <v>0.66805555555555562</v>
      </c>
      <c r="C261" s="361" t="s">
        <v>43</v>
      </c>
      <c r="D261" s="332" t="s">
        <v>206</v>
      </c>
      <c r="E261" s="317" t="s">
        <v>24</v>
      </c>
      <c r="F261" s="542" t="s">
        <v>25</v>
      </c>
      <c r="G261" s="363">
        <v>20.1892</v>
      </c>
      <c r="H261" s="363">
        <v>23.798400000000001</v>
      </c>
      <c r="I261" s="365">
        <v>21.6113</v>
      </c>
      <c r="J261" s="364">
        <v>23.540199999999999</v>
      </c>
      <c r="K261" s="366">
        <v>24.425000000000001</v>
      </c>
      <c r="L261" s="367">
        <v>23.414999999999999</v>
      </c>
      <c r="M261" s="368">
        <v>-2147.4839999999999</v>
      </c>
      <c r="N261" s="368">
        <v>-65</v>
      </c>
      <c r="O261" s="368">
        <v>-60.018999999999998</v>
      </c>
      <c r="P261" s="368">
        <v>-2E-3</v>
      </c>
      <c r="Q261" s="369">
        <v>3.0000000000000001E-3</v>
      </c>
      <c r="R261" s="315" t="str">
        <f t="shared" si="24"/>
        <v>0,20</v>
      </c>
      <c r="S261" s="315">
        <v>19</v>
      </c>
      <c r="T261" s="339">
        <v>4.0219170000000002</v>
      </c>
      <c r="U261" s="510" t="s">
        <v>221</v>
      </c>
      <c r="V261" s="341">
        <v>2.9999999999999997E-4</v>
      </c>
      <c r="W261" s="341">
        <v>1E-4</v>
      </c>
      <c r="X261" s="342"/>
      <c r="Y261" s="342"/>
    </row>
    <row r="262" spans="1:26">
      <c r="A262" s="360">
        <v>45080</v>
      </c>
      <c r="B262" s="361">
        <f t="shared" si="25"/>
        <v>0.66875000000000007</v>
      </c>
      <c r="C262" s="361" t="s">
        <v>43</v>
      </c>
      <c r="D262" s="332" t="s">
        <v>206</v>
      </c>
      <c r="E262" s="317" t="s">
        <v>24</v>
      </c>
      <c r="F262" s="542" t="s">
        <v>26</v>
      </c>
      <c r="G262" s="363">
        <v>20.1892</v>
      </c>
      <c r="H262" s="363">
        <v>23.798400000000001</v>
      </c>
      <c r="I262" s="365">
        <v>21.6113</v>
      </c>
      <c r="J262" s="364">
        <v>23.540199999999999</v>
      </c>
      <c r="K262" s="366">
        <v>24.425000000000001</v>
      </c>
      <c r="L262" s="367">
        <v>23.414999999999999</v>
      </c>
      <c r="M262" s="368">
        <v>-2147.4839999999999</v>
      </c>
      <c r="N262" s="368">
        <v>-65</v>
      </c>
      <c r="O262" s="368">
        <v>-60.018999999999998</v>
      </c>
      <c r="P262" s="368">
        <v>-2E-3</v>
      </c>
      <c r="Q262" s="369">
        <v>3.0000000000000001E-3</v>
      </c>
      <c r="R262" s="315" t="str">
        <f t="shared" si="24"/>
        <v>1,76</v>
      </c>
      <c r="U262" s="510" t="s">
        <v>222</v>
      </c>
      <c r="V262" s="341"/>
      <c r="W262" s="341"/>
      <c r="X262" s="342">
        <v>808.56</v>
      </c>
      <c r="Y262" s="342">
        <v>602.45500000000004</v>
      </c>
    </row>
    <row r="263" spans="1:26">
      <c r="A263" s="360">
        <v>45080</v>
      </c>
      <c r="B263" s="361">
        <f t="shared" ref="B263:B266" si="26">IF(U263&lt;&gt;0,TIMEVALUE(LEFT(U263,2)&amp;":"&amp;MID(U263,3,2)),"")</f>
        <v>0.68472222222222223</v>
      </c>
      <c r="C263" s="361" t="s">
        <v>43</v>
      </c>
      <c r="D263" s="332" t="s">
        <v>206</v>
      </c>
      <c r="E263" s="317" t="s">
        <v>24</v>
      </c>
      <c r="F263" s="542" t="s">
        <v>34</v>
      </c>
      <c r="G263" s="363">
        <v>20.1892</v>
      </c>
      <c r="H263" s="363">
        <v>23.798400000000001</v>
      </c>
      <c r="I263" s="365">
        <v>21.6113</v>
      </c>
      <c r="J263" s="364">
        <v>23.540199999999999</v>
      </c>
      <c r="K263" s="366">
        <v>24.425000000000001</v>
      </c>
      <c r="L263" s="367">
        <v>23.414999999999999</v>
      </c>
      <c r="M263" s="368">
        <v>101.51300000000001</v>
      </c>
      <c r="N263" s="368">
        <v>125.72799999999999</v>
      </c>
      <c r="O263" s="368">
        <v>1E-3</v>
      </c>
      <c r="P263" s="368">
        <v>0.1072</v>
      </c>
      <c r="Q263" s="369">
        <v>8.5199999999999998E-2</v>
      </c>
      <c r="R263" s="315" t="str">
        <f t="shared" si="24"/>
        <v>0,20</v>
      </c>
      <c r="T263" s="339" t="s">
        <v>223</v>
      </c>
      <c r="U263" s="510" t="s">
        <v>224</v>
      </c>
      <c r="V263" s="315">
        <v>2.9999999999999997E-4</v>
      </c>
      <c r="W263" s="315">
        <v>5.9999999999999995E-4</v>
      </c>
    </row>
    <row r="264" spans="1:26">
      <c r="A264" s="360">
        <v>45080</v>
      </c>
      <c r="B264" s="361">
        <f t="shared" si="26"/>
        <v>0.68888888888888899</v>
      </c>
      <c r="C264" s="361" t="s">
        <v>43</v>
      </c>
      <c r="D264" s="332" t="s">
        <v>206</v>
      </c>
      <c r="E264" s="317" t="s">
        <v>24</v>
      </c>
      <c r="F264" s="542" t="s">
        <v>32</v>
      </c>
      <c r="G264" s="363">
        <v>20.1892</v>
      </c>
      <c r="H264" s="363">
        <v>23.798400000000001</v>
      </c>
      <c r="I264" s="365">
        <v>21.6113</v>
      </c>
      <c r="J264" s="364">
        <v>23.540199999999999</v>
      </c>
      <c r="K264" s="366">
        <v>24.425000000000001</v>
      </c>
      <c r="L264" s="367">
        <v>23.414999999999999</v>
      </c>
      <c r="M264" s="484">
        <v>88.893000000000001</v>
      </c>
      <c r="N264" s="484">
        <v>108.63500000000001</v>
      </c>
      <c r="O264" s="484">
        <v>-4.0000000000000001E-3</v>
      </c>
      <c r="P264" s="368">
        <v>0.1072</v>
      </c>
      <c r="Q264" s="369">
        <v>8.5199999999999998E-2</v>
      </c>
      <c r="R264" s="514">
        <v>1132</v>
      </c>
      <c r="U264" s="510" t="s">
        <v>225</v>
      </c>
      <c r="X264" s="322">
        <v>808.64</v>
      </c>
      <c r="Y264" s="322">
        <v>602.5</v>
      </c>
    </row>
    <row r="265" spans="1:26">
      <c r="A265" s="360">
        <v>45080</v>
      </c>
      <c r="B265" s="361">
        <f t="shared" si="26"/>
        <v>0.70000000000000007</v>
      </c>
      <c r="C265" s="361" t="s">
        <v>43</v>
      </c>
      <c r="D265" s="332" t="s">
        <v>206</v>
      </c>
      <c r="E265" s="317" t="s">
        <v>24</v>
      </c>
      <c r="F265" s="542" t="s">
        <v>25</v>
      </c>
      <c r="G265" s="363">
        <v>20.1892</v>
      </c>
      <c r="H265" s="363">
        <v>23.798400000000001</v>
      </c>
      <c r="I265" s="365">
        <v>21.6113</v>
      </c>
      <c r="J265" s="364">
        <v>23.540199999999999</v>
      </c>
      <c r="K265" s="366">
        <v>24.425000000000001</v>
      </c>
      <c r="L265" s="367">
        <v>23.414999999999999</v>
      </c>
      <c r="M265" s="368">
        <v>-2147.4839999999999</v>
      </c>
      <c r="N265" s="368">
        <v>-65</v>
      </c>
      <c r="O265" s="368">
        <v>-60.018999999999998</v>
      </c>
      <c r="P265" s="368">
        <v>-2E-3</v>
      </c>
      <c r="Q265" s="369">
        <v>3.0000000000000001E-3</v>
      </c>
      <c r="R265" s="315" t="str">
        <f t="shared" si="24"/>
        <v>0,20</v>
      </c>
      <c r="S265" s="315">
        <v>19</v>
      </c>
      <c r="T265" s="339">
        <v>4.0219170000000002</v>
      </c>
      <c r="U265" s="510" t="s">
        <v>226</v>
      </c>
      <c r="V265" s="315">
        <v>2.9999999999999997E-4</v>
      </c>
      <c r="W265" s="315">
        <v>1E-4</v>
      </c>
      <c r="X265" s="588">
        <f>X264-X$262</f>
        <v>8.0000000000040927E-2</v>
      </c>
      <c r="Y265" s="588">
        <f>Y264-Y$262</f>
        <v>4.4999999999959073E-2</v>
      </c>
    </row>
    <row r="266" spans="1:26" ht="16.149999999999999" thickBot="1">
      <c r="A266" s="434">
        <v>45080</v>
      </c>
      <c r="B266" s="435">
        <f t="shared" si="26"/>
        <v>0.70208333333333339</v>
      </c>
      <c r="C266" s="435" t="s">
        <v>43</v>
      </c>
      <c r="D266" s="556" t="s">
        <v>206</v>
      </c>
      <c r="E266" s="324" t="s">
        <v>24</v>
      </c>
      <c r="F266" s="555" t="s">
        <v>26</v>
      </c>
      <c r="G266" s="418">
        <v>20.1892</v>
      </c>
      <c r="H266" s="418">
        <v>23.798400000000001</v>
      </c>
      <c r="I266" s="420">
        <v>21.6113</v>
      </c>
      <c r="J266" s="419">
        <v>23.540199999999999</v>
      </c>
      <c r="K266" s="421">
        <v>24.425000000000001</v>
      </c>
      <c r="L266" s="422">
        <v>23.414999999999999</v>
      </c>
      <c r="M266" s="423">
        <v>-2147.4839999999999</v>
      </c>
      <c r="N266" s="423">
        <v>-65</v>
      </c>
      <c r="O266" s="423">
        <v>-60.018999999999998</v>
      </c>
      <c r="P266" s="423">
        <v>-2E-3</v>
      </c>
      <c r="Q266" s="424">
        <v>3.0000000000000001E-3</v>
      </c>
      <c r="R266" s="329" t="str">
        <f t="shared" si="24"/>
        <v>1,76</v>
      </c>
      <c r="S266" s="329"/>
      <c r="T266" s="340"/>
      <c r="U266" s="511" t="s">
        <v>227</v>
      </c>
      <c r="V266" s="329"/>
      <c r="W266" s="329"/>
      <c r="X266" s="330">
        <v>808.721</v>
      </c>
      <c r="Y266" s="330">
        <v>601.71</v>
      </c>
    </row>
    <row r="267" spans="1:26">
      <c r="A267" s="360">
        <v>45080</v>
      </c>
      <c r="B267" s="361">
        <f t="shared" ref="B267:B268" si="27">IF(U267&lt;&gt;0,TIMEVALUE(LEFT(U267,2)&amp;":"&amp;MID(U267,3,2)),"")</f>
        <v>0.76666666666666661</v>
      </c>
      <c r="C267" s="361" t="s">
        <v>43</v>
      </c>
      <c r="D267" s="332" t="s">
        <v>194</v>
      </c>
      <c r="F267" s="542" t="s">
        <v>25</v>
      </c>
      <c r="G267" s="363">
        <v>20.168299999999999</v>
      </c>
      <c r="H267" s="363">
        <v>23.745200000000001</v>
      </c>
      <c r="I267" s="365">
        <v>21.554300000000001</v>
      </c>
      <c r="J267" s="364">
        <v>23.522200000000002</v>
      </c>
      <c r="K267" s="366">
        <v>24.425000000000001</v>
      </c>
      <c r="L267" s="367">
        <v>23.414999999999999</v>
      </c>
      <c r="R267" s="315" t="str">
        <f t="shared" si="24"/>
        <v>0,20</v>
      </c>
      <c r="U267" s="510" t="s">
        <v>228</v>
      </c>
      <c r="V267" s="315">
        <v>2.3999999999999998E-3</v>
      </c>
      <c r="W267" s="315">
        <v>-2.7000000000000001E-3</v>
      </c>
      <c r="X267" s="588"/>
      <c r="Y267" s="588"/>
      <c r="Z267" s="333" t="s">
        <v>229</v>
      </c>
    </row>
    <row r="268" spans="1:26">
      <c r="A268" s="360">
        <v>45080</v>
      </c>
      <c r="B268" s="361">
        <f t="shared" si="27"/>
        <v>0.76597222222222217</v>
      </c>
      <c r="C268" s="361" t="s">
        <v>43</v>
      </c>
      <c r="D268" s="332" t="s">
        <v>194</v>
      </c>
      <c r="F268" s="542" t="s">
        <v>26</v>
      </c>
      <c r="G268" s="363">
        <v>20.2011</v>
      </c>
      <c r="H268" s="363">
        <v>23.787700000000001</v>
      </c>
      <c r="I268" s="365">
        <v>21.615100000000002</v>
      </c>
      <c r="J268" s="364">
        <v>23.5519</v>
      </c>
      <c r="K268" s="366">
        <v>24.425000000000001</v>
      </c>
      <c r="L268" s="367">
        <v>23.414999999999999</v>
      </c>
      <c r="M268" s="368">
        <v>-2147.4839999999999</v>
      </c>
      <c r="N268" s="368">
        <v>-65</v>
      </c>
      <c r="O268" s="368">
        <v>-60.018999999999998</v>
      </c>
      <c r="P268" s="368">
        <v>-2E-3</v>
      </c>
      <c r="Q268" s="369">
        <v>3.0000000000000001E-3</v>
      </c>
      <c r="R268" s="315" t="str">
        <f t="shared" si="24"/>
        <v>1,76</v>
      </c>
      <c r="U268" s="510" t="s">
        <v>230</v>
      </c>
      <c r="X268" s="322">
        <v>807.66</v>
      </c>
      <c r="Y268" s="322">
        <v>601.76</v>
      </c>
      <c r="Z268" s="333" t="s">
        <v>231</v>
      </c>
    </row>
    <row r="269" spans="1:26">
      <c r="A269" s="360">
        <v>45080</v>
      </c>
      <c r="B269" s="361">
        <f t="shared" ref="B269:B273" si="28">IF(U269&lt;&gt;0,TIMEVALUE(LEFT(U269,2)&amp;":"&amp;MID(U269,3,2)),"")</f>
        <v>0.75</v>
      </c>
      <c r="C269" s="361" t="s">
        <v>43</v>
      </c>
      <c r="D269" s="332" t="s">
        <v>120</v>
      </c>
      <c r="F269" s="542" t="s">
        <v>26</v>
      </c>
      <c r="G269" s="363">
        <v>20.2011</v>
      </c>
      <c r="H269" s="363">
        <v>23.787700000000001</v>
      </c>
      <c r="I269" s="365">
        <v>21.615100000000002</v>
      </c>
      <c r="J269" s="364">
        <v>23.5519</v>
      </c>
      <c r="K269" s="366">
        <v>24.425000000000001</v>
      </c>
      <c r="L269" s="367">
        <v>23.414999999999999</v>
      </c>
      <c r="R269" s="315" t="str">
        <f>IF(OR(ISNUMBER(FIND("mirror",$F269)),ISNUMBER(FIND("retro",$F269))),"0,20",(IF(ISNUMBER(FIND("sMATF LED",$F269)),"1,76","")))</f>
        <v>1,76</v>
      </c>
      <c r="U269" s="510" t="s">
        <v>232</v>
      </c>
      <c r="X269" s="322">
        <v>806.5</v>
      </c>
      <c r="Y269" s="322">
        <v>602.70000000000005</v>
      </c>
      <c r="Z269" s="333" t="s">
        <v>233</v>
      </c>
    </row>
    <row r="270" spans="1:26">
      <c r="A270" s="360">
        <v>45080</v>
      </c>
      <c r="B270" s="361">
        <f t="shared" si="28"/>
        <v>0.76597222222222217</v>
      </c>
      <c r="C270" s="361" t="s">
        <v>43</v>
      </c>
      <c r="D270" s="332" t="s">
        <v>120</v>
      </c>
      <c r="F270" s="542" t="s">
        <v>25</v>
      </c>
      <c r="G270" s="363">
        <v>20.2011</v>
      </c>
      <c r="H270" s="363">
        <v>23.787700000000001</v>
      </c>
      <c r="I270" s="365">
        <v>21.615100000000002</v>
      </c>
      <c r="J270" s="364">
        <v>23.5519</v>
      </c>
      <c r="K270" s="366">
        <v>24.425000000000001</v>
      </c>
      <c r="L270" s="367">
        <v>23.414999999999999</v>
      </c>
      <c r="R270" s="315" t="str">
        <f>IF(OR(ISNUMBER(FIND("mirror",$F270)),ISNUMBER(FIND("retro",$F270))),"0,20",(IF(ISNUMBER(FIND("sMATF LED",$F270)),"1,76","")))</f>
        <v>0,20</v>
      </c>
      <c r="U270" s="510" t="s">
        <v>230</v>
      </c>
      <c r="V270" s="315">
        <v>-2.8E-3</v>
      </c>
      <c r="W270" s="315">
        <v>3.2000000000000002E-3</v>
      </c>
      <c r="X270" s="588"/>
      <c r="Y270" s="588"/>
    </row>
    <row r="271" spans="1:26">
      <c r="A271" s="360">
        <v>45080</v>
      </c>
      <c r="B271" s="361">
        <f t="shared" si="28"/>
        <v>0.77986111111111101</v>
      </c>
      <c r="C271" s="361" t="s">
        <v>43</v>
      </c>
      <c r="D271" s="332" t="s">
        <v>120</v>
      </c>
      <c r="F271" s="542" t="s">
        <v>26</v>
      </c>
      <c r="G271" s="363">
        <v>20.2011</v>
      </c>
      <c r="H271" s="363">
        <v>23.787700000000001</v>
      </c>
      <c r="I271" s="365">
        <v>21.615100000000002</v>
      </c>
      <c r="J271" s="364">
        <v>23.5519</v>
      </c>
      <c r="K271" s="366">
        <v>24.425000000000001</v>
      </c>
      <c r="L271" s="367">
        <v>23.414999999999999</v>
      </c>
      <c r="R271" s="315" t="str">
        <f>IF(OR(ISNUMBER(FIND("mirror",$F271)),ISNUMBER(FIND("retro",$F271))),"0,20",(IF(ISNUMBER(FIND("sMATF LED",$F271)),"1,76","")))</f>
        <v>1,76</v>
      </c>
      <c r="U271" s="510" t="s">
        <v>234</v>
      </c>
      <c r="X271" s="322">
        <v>809.83</v>
      </c>
      <c r="Y271" s="322">
        <v>599.61</v>
      </c>
    </row>
    <row r="272" spans="1:26">
      <c r="A272" s="360">
        <v>45080</v>
      </c>
      <c r="B272" s="361">
        <f t="shared" si="28"/>
        <v>0.77847222222222223</v>
      </c>
      <c r="C272" s="361" t="s">
        <v>43</v>
      </c>
      <c r="D272" s="332" t="s">
        <v>120</v>
      </c>
      <c r="F272" s="542" t="s">
        <v>25</v>
      </c>
      <c r="G272" s="363">
        <v>20.2011</v>
      </c>
      <c r="H272" s="363">
        <v>23.787700000000001</v>
      </c>
      <c r="I272" s="365">
        <v>21.615100000000002</v>
      </c>
      <c r="J272" s="364">
        <v>23.5519</v>
      </c>
      <c r="K272" s="366">
        <v>24.425000000000001</v>
      </c>
      <c r="L272" s="367">
        <v>23.414999999999999</v>
      </c>
      <c r="R272" s="315" t="str">
        <f>IF(OR(ISNUMBER(FIND("mirror",$F272)),ISNUMBER(FIND("retro",$F272))),"0,20",(IF(ISNUMBER(FIND("sMATF LED",$F272)),"1,76","")))</f>
        <v>0,20</v>
      </c>
      <c r="U272" s="510" t="s">
        <v>235</v>
      </c>
      <c r="V272" s="315">
        <v>-1.1000000000000001E-3</v>
      </c>
      <c r="W272" s="315">
        <v>1.1000000000000001E-3</v>
      </c>
      <c r="X272" s="588"/>
      <c r="Y272" s="588"/>
      <c r="Z272" s="333" t="s">
        <v>236</v>
      </c>
    </row>
    <row r="273" spans="1:26">
      <c r="A273" s="360">
        <v>45080</v>
      </c>
      <c r="B273" s="361">
        <f t="shared" si="28"/>
        <v>0.78611111111111109</v>
      </c>
      <c r="C273" s="361" t="s">
        <v>43</v>
      </c>
      <c r="D273" s="332" t="s">
        <v>120</v>
      </c>
      <c r="F273" s="542" t="s">
        <v>26</v>
      </c>
      <c r="G273" s="363">
        <v>20.2011</v>
      </c>
      <c r="H273" s="363">
        <v>23.787700000000001</v>
      </c>
      <c r="I273" s="365">
        <v>21.615100000000002</v>
      </c>
      <c r="J273" s="364">
        <v>23.5519</v>
      </c>
      <c r="K273" s="366">
        <v>24.425000000000001</v>
      </c>
      <c r="L273" s="367">
        <v>23.414999999999999</v>
      </c>
      <c r="R273" s="315" t="str">
        <f>IF(OR(ISNUMBER(FIND("mirror",$F273)),ISNUMBER(FIND("retro",$F273))),"0,20",(IF(ISNUMBER(FIND("sMATF LED",$F273)),"1,76","")))</f>
        <v>1,76</v>
      </c>
      <c r="U273" s="510" t="s">
        <v>237</v>
      </c>
      <c r="X273" s="322">
        <v>810.6</v>
      </c>
      <c r="Y273" s="322">
        <v>598.83000000000004</v>
      </c>
    </row>
    <row r="274" spans="1:26">
      <c r="A274" s="360">
        <v>45080</v>
      </c>
      <c r="B274" s="361">
        <f t="shared" ref="B274:B275" si="29">IF(U274&lt;&gt;0,TIMEVALUE(LEFT(U274,2)&amp;":"&amp;MID(U274,3,2)),"")</f>
        <v>0.78749999999999998</v>
      </c>
      <c r="C274" s="361" t="s">
        <v>43</v>
      </c>
      <c r="D274" s="332" t="s">
        <v>120</v>
      </c>
      <c r="F274" s="542" t="s">
        <v>25</v>
      </c>
      <c r="G274" s="363">
        <v>20.2011</v>
      </c>
      <c r="H274" s="363">
        <v>23.787700000000001</v>
      </c>
      <c r="I274" s="365">
        <v>21.615100000000002</v>
      </c>
      <c r="J274" s="364">
        <v>23.5519</v>
      </c>
      <c r="K274" s="366">
        <v>24.425000000000001</v>
      </c>
      <c r="L274" s="367">
        <v>23.414999999999999</v>
      </c>
      <c r="R274" s="315" t="str">
        <f t="shared" ref="R274:R285" si="30">IF(OR(ISNUMBER(FIND("mirror",$F274)),ISNUMBER(FIND("retro",$F274))),"0,20",(IF(ISNUMBER(FIND("sMATF LED",$F274)),"1,76","")))</f>
        <v>0,20</v>
      </c>
      <c r="U274" s="510" t="s">
        <v>238</v>
      </c>
      <c r="V274" s="315">
        <v>-1.5E-3</v>
      </c>
      <c r="W274" s="315">
        <v>1.5E-3</v>
      </c>
      <c r="X274" s="588">
        <f>X273-X$273</f>
        <v>0</v>
      </c>
      <c r="Y274" s="588">
        <f>Y273-Y$273</f>
        <v>0</v>
      </c>
    </row>
    <row r="275" spans="1:26">
      <c r="A275" s="360">
        <v>45080</v>
      </c>
      <c r="B275" s="361">
        <f t="shared" si="29"/>
        <v>0.7944444444444444</v>
      </c>
      <c r="C275" s="361" t="s">
        <v>43</v>
      </c>
      <c r="D275" s="332" t="s">
        <v>120</v>
      </c>
      <c r="F275" s="542" t="s">
        <v>26</v>
      </c>
      <c r="G275" s="363">
        <v>20.2011</v>
      </c>
      <c r="H275" s="363">
        <v>23.787700000000001</v>
      </c>
      <c r="I275" s="365">
        <v>21.615100000000002</v>
      </c>
      <c r="J275" s="364">
        <v>23.5519</v>
      </c>
      <c r="K275" s="366">
        <v>24.425000000000001</v>
      </c>
      <c r="L275" s="367">
        <v>23.414999999999999</v>
      </c>
      <c r="R275" s="315" t="str">
        <f t="shared" si="30"/>
        <v>1,76</v>
      </c>
      <c r="U275" s="510" t="s">
        <v>239</v>
      </c>
      <c r="X275" s="322">
        <v>810.65</v>
      </c>
      <c r="Y275" s="322">
        <v>598.78</v>
      </c>
    </row>
    <row r="276" spans="1:26">
      <c r="A276" s="360">
        <v>45080</v>
      </c>
      <c r="B276" s="361">
        <f t="shared" ref="B276" si="31">IF(U276&lt;&gt;0,TIMEVALUE(LEFT(U276,2)&amp;":"&amp;MID(U276,3,2)),"")</f>
        <v>0.7944444444444444</v>
      </c>
      <c r="C276" s="361" t="s">
        <v>43</v>
      </c>
      <c r="D276" s="332" t="s">
        <v>120</v>
      </c>
      <c r="F276" s="542" t="s">
        <v>25</v>
      </c>
      <c r="G276" s="363">
        <v>20.2011</v>
      </c>
      <c r="H276" s="363">
        <v>23.787700000000001</v>
      </c>
      <c r="I276" s="365">
        <v>21.615100000000002</v>
      </c>
      <c r="J276" s="364">
        <v>23.5519</v>
      </c>
      <c r="K276" s="366">
        <v>24.425000000000001</v>
      </c>
      <c r="L276" s="367">
        <v>23.414999999999999</v>
      </c>
      <c r="R276" s="315" t="str">
        <f t="shared" si="30"/>
        <v>0,20</v>
      </c>
      <c r="U276" s="510" t="s">
        <v>239</v>
      </c>
      <c r="V276" s="315">
        <v>-1.5E-3</v>
      </c>
      <c r="W276" s="315">
        <v>1.5E-3</v>
      </c>
    </row>
    <row r="277" spans="1:26">
      <c r="A277" s="360">
        <v>45080</v>
      </c>
      <c r="B277" s="361">
        <f t="shared" ref="B277:B281" si="32">IF(U277&lt;&gt;0,TIMEVALUE(LEFT(U277,2)&amp;":"&amp;MID(U277,3,2)),"")</f>
        <v>0.80069444444444438</v>
      </c>
      <c r="C277" s="361" t="s">
        <v>43</v>
      </c>
      <c r="D277" s="332" t="s">
        <v>120</v>
      </c>
      <c r="F277" s="542" t="s">
        <v>26</v>
      </c>
      <c r="G277" s="363">
        <v>20.2011</v>
      </c>
      <c r="H277" s="363">
        <v>23.787700000000001</v>
      </c>
      <c r="I277" s="365">
        <v>21.615100000000002</v>
      </c>
      <c r="J277" s="364">
        <v>23.5519</v>
      </c>
      <c r="K277" s="366">
        <v>24.425000000000001</v>
      </c>
      <c r="L277" s="367">
        <v>23.414999999999999</v>
      </c>
      <c r="R277" s="315" t="str">
        <f t="shared" si="30"/>
        <v>1,76</v>
      </c>
      <c r="U277" s="510" t="s">
        <v>240</v>
      </c>
      <c r="X277" s="322">
        <v>810.61</v>
      </c>
      <c r="Y277" s="322">
        <v>599.5</v>
      </c>
      <c r="Z277" s="333" t="s">
        <v>241</v>
      </c>
    </row>
    <row r="278" spans="1:26">
      <c r="A278" s="360">
        <v>45080</v>
      </c>
      <c r="B278" s="361">
        <f t="shared" si="32"/>
        <v>0.80208333333333337</v>
      </c>
      <c r="C278" s="361" t="s">
        <v>43</v>
      </c>
      <c r="D278" s="332" t="s">
        <v>120</v>
      </c>
      <c r="F278" s="542" t="s">
        <v>25</v>
      </c>
      <c r="G278" s="363">
        <v>20.2011</v>
      </c>
      <c r="H278" s="363">
        <v>23.787700000000001</v>
      </c>
      <c r="I278" s="365">
        <v>21.615100000000002</v>
      </c>
      <c r="J278" s="364">
        <v>23.5519</v>
      </c>
      <c r="K278" s="366">
        <v>24.425000000000001</v>
      </c>
      <c r="L278" s="367">
        <v>23.414999999999999</v>
      </c>
      <c r="R278" s="315" t="str">
        <f t="shared" si="30"/>
        <v>0,20</v>
      </c>
      <c r="U278" s="510" t="s">
        <v>242</v>
      </c>
      <c r="V278" s="315">
        <v>-1.5E-3</v>
      </c>
      <c r="W278" s="315">
        <v>2.2000000000000001E-3</v>
      </c>
    </row>
    <row r="279" spans="1:26">
      <c r="A279" s="360">
        <v>45080</v>
      </c>
      <c r="B279" s="361">
        <f t="shared" si="32"/>
        <v>0.81319444444444444</v>
      </c>
      <c r="C279" s="361" t="s">
        <v>43</v>
      </c>
      <c r="D279" s="332" t="s">
        <v>206</v>
      </c>
      <c r="E279" s="317" t="s">
        <v>24</v>
      </c>
      <c r="F279" s="542" t="s">
        <v>25</v>
      </c>
      <c r="G279" s="363">
        <v>20.2011</v>
      </c>
      <c r="H279" s="363">
        <v>23.787700000000001</v>
      </c>
      <c r="I279" s="365">
        <v>21.615100000000002</v>
      </c>
      <c r="J279" s="364">
        <v>23.5519</v>
      </c>
      <c r="K279" s="366">
        <v>24.44</v>
      </c>
      <c r="L279" s="367">
        <v>23.416</v>
      </c>
      <c r="M279" s="368">
        <v>-2147.4839999999999</v>
      </c>
      <c r="N279" s="368">
        <v>-65</v>
      </c>
      <c r="O279" s="368">
        <v>-60.018999999999998</v>
      </c>
      <c r="P279" s="368">
        <v>-2E-3</v>
      </c>
      <c r="Q279" s="369">
        <v>3.0000000000000001E-3</v>
      </c>
      <c r="R279" s="315" t="str">
        <f t="shared" si="30"/>
        <v>0,20</v>
      </c>
      <c r="S279" s="315">
        <v>19</v>
      </c>
      <c r="T279" s="339">
        <v>4.0218999999999996</v>
      </c>
      <c r="U279" s="510" t="s">
        <v>243</v>
      </c>
      <c r="V279" s="341">
        <v>-1.8E-3</v>
      </c>
      <c r="W279" s="341">
        <v>2.2000000000000001E-3</v>
      </c>
      <c r="X279" s="342"/>
      <c r="Y279" s="342"/>
    </row>
    <row r="280" spans="1:26">
      <c r="A280" s="360">
        <v>45080</v>
      </c>
      <c r="B280" s="361">
        <f t="shared" si="32"/>
        <v>0.81458333333333333</v>
      </c>
      <c r="C280" s="361" t="s">
        <v>43</v>
      </c>
      <c r="D280" s="332" t="s">
        <v>206</v>
      </c>
      <c r="E280" s="317" t="s">
        <v>24</v>
      </c>
      <c r="F280" s="542" t="s">
        <v>26</v>
      </c>
      <c r="G280" s="363">
        <v>20.2011</v>
      </c>
      <c r="H280" s="363">
        <v>23.787700000000001</v>
      </c>
      <c r="I280" s="365">
        <v>21.615100000000002</v>
      </c>
      <c r="J280" s="364">
        <v>23.5519</v>
      </c>
      <c r="K280" s="366">
        <v>24.44</v>
      </c>
      <c r="L280" s="367">
        <v>23.416</v>
      </c>
      <c r="M280" s="368">
        <v>-2147.4839999999999</v>
      </c>
      <c r="N280" s="368">
        <v>-65</v>
      </c>
      <c r="O280" s="368">
        <v>-60.018999999999998</v>
      </c>
      <c r="P280" s="368">
        <v>-2E-3</v>
      </c>
      <c r="Q280" s="369">
        <v>3.0000000000000001E-3</v>
      </c>
      <c r="R280" s="315" t="str">
        <f t="shared" si="30"/>
        <v>1,76</v>
      </c>
      <c r="U280" s="510" t="s">
        <v>244</v>
      </c>
      <c r="V280" s="341"/>
      <c r="W280" s="341"/>
      <c r="X280" s="342">
        <v>810.66</v>
      </c>
      <c r="Y280" s="342">
        <v>598.79</v>
      </c>
    </row>
    <row r="281" spans="1:26">
      <c r="A281" s="360">
        <v>45080</v>
      </c>
      <c r="B281" s="361">
        <f t="shared" si="32"/>
        <v>0.83750000000000002</v>
      </c>
      <c r="C281" s="361" t="s">
        <v>43</v>
      </c>
      <c r="D281" s="332" t="s">
        <v>206</v>
      </c>
      <c r="E281" s="317" t="s">
        <v>24</v>
      </c>
      <c r="F281" s="542" t="s">
        <v>34</v>
      </c>
      <c r="G281" s="363">
        <v>20.2011</v>
      </c>
      <c r="H281" s="363">
        <v>23.787700000000001</v>
      </c>
      <c r="I281" s="365">
        <v>21.615100000000002</v>
      </c>
      <c r="J281" s="364">
        <v>23.5519</v>
      </c>
      <c r="K281" s="366">
        <v>24.44</v>
      </c>
      <c r="L281" s="367">
        <v>23.416</v>
      </c>
      <c r="M281" s="368">
        <v>101.51300000000001</v>
      </c>
      <c r="N281" s="368">
        <v>125.72799999999999</v>
      </c>
      <c r="O281" s="368">
        <v>1E-3</v>
      </c>
      <c r="P281" s="368">
        <v>0.1072</v>
      </c>
      <c r="Q281" s="369">
        <v>8.5199999999999998E-2</v>
      </c>
      <c r="R281" s="315" t="s">
        <v>55</v>
      </c>
      <c r="S281" s="315">
        <v>50</v>
      </c>
      <c r="T281" s="339">
        <v>3.472216</v>
      </c>
      <c r="U281" s="510" t="s">
        <v>245</v>
      </c>
      <c r="V281" s="315">
        <v>-1.5E-3</v>
      </c>
      <c r="W281" s="315">
        <v>1.4E-3</v>
      </c>
      <c r="X281" s="588">
        <f>X280-X$273</f>
        <v>5.999999999994543E-2</v>
      </c>
      <c r="Y281" s="588">
        <f>Y280-Y$273</f>
        <v>-4.0000000000077307E-2</v>
      </c>
      <c r="Z281" s="333" t="s">
        <v>246</v>
      </c>
    </row>
    <row r="282" spans="1:26">
      <c r="A282" s="360">
        <v>45080</v>
      </c>
      <c r="B282" s="361">
        <f t="shared" ref="B282:B284" si="33">IF(U282&lt;&gt;0,TIMEVALUE(LEFT(U282,2)&amp;":"&amp;MID(U282,3,2)),"")</f>
        <v>0.85</v>
      </c>
      <c r="C282" s="361" t="s">
        <v>43</v>
      </c>
      <c r="D282" s="332" t="s">
        <v>206</v>
      </c>
      <c r="E282" s="317" t="s">
        <v>24</v>
      </c>
      <c r="F282" s="542" t="s">
        <v>32</v>
      </c>
      <c r="G282" s="363">
        <v>20.2011</v>
      </c>
      <c r="H282" s="363">
        <v>23.787700000000001</v>
      </c>
      <c r="I282" s="365">
        <v>21.615100000000002</v>
      </c>
      <c r="J282" s="364">
        <v>23.5519</v>
      </c>
      <c r="K282" s="366">
        <v>24.44</v>
      </c>
      <c r="L282" s="367">
        <v>23.416</v>
      </c>
      <c r="M282" s="484">
        <v>88.893000000000001</v>
      </c>
      <c r="N282" s="484">
        <v>108.63500000000001</v>
      </c>
      <c r="O282" s="484">
        <v>-4.0000000000000001E-3</v>
      </c>
      <c r="P282" s="368">
        <v>0.1072</v>
      </c>
      <c r="Q282" s="369">
        <v>8.5199999999999998E-2</v>
      </c>
      <c r="R282" s="514">
        <v>1133</v>
      </c>
      <c r="U282" s="510" t="s">
        <v>247</v>
      </c>
      <c r="X282" s="322">
        <v>809.8</v>
      </c>
      <c r="Y282" s="322">
        <v>599.67999999999995</v>
      </c>
    </row>
    <row r="283" spans="1:26">
      <c r="A283" s="360">
        <v>45080</v>
      </c>
      <c r="B283" s="361">
        <f t="shared" si="33"/>
        <v>0.86111111111111116</v>
      </c>
      <c r="C283" s="361" t="s">
        <v>43</v>
      </c>
      <c r="D283" s="332" t="s">
        <v>206</v>
      </c>
      <c r="E283" s="317" t="s">
        <v>24</v>
      </c>
      <c r="F283" s="542" t="s">
        <v>25</v>
      </c>
      <c r="G283" s="363">
        <v>20.2011</v>
      </c>
      <c r="H283" s="363">
        <v>23.787700000000001</v>
      </c>
      <c r="I283" s="365">
        <v>21.615100000000002</v>
      </c>
      <c r="J283" s="364">
        <v>23.5519</v>
      </c>
      <c r="K283" s="366">
        <v>24.44</v>
      </c>
      <c r="L283" s="367">
        <v>23.416</v>
      </c>
      <c r="M283" s="368">
        <v>-2147.4839999999999</v>
      </c>
      <c r="N283" s="368">
        <v>-65</v>
      </c>
      <c r="O283" s="368">
        <v>-60.018999999999998</v>
      </c>
      <c r="P283" s="368">
        <v>-2E-3</v>
      </c>
      <c r="Q283" s="369">
        <v>3.0000000000000001E-3</v>
      </c>
      <c r="R283" s="315" t="str">
        <f t="shared" si="30"/>
        <v>0,20</v>
      </c>
      <c r="S283" s="315">
        <v>35</v>
      </c>
      <c r="T283" s="339">
        <v>4.0219430000000003</v>
      </c>
      <c r="U283" s="510" t="s">
        <v>248</v>
      </c>
      <c r="V283" s="315">
        <v>-1.5E-3</v>
      </c>
      <c r="W283" s="315">
        <v>2.2000000000000001E-3</v>
      </c>
      <c r="X283" s="588">
        <f>X282-X$273</f>
        <v>-0.80000000000006821</v>
      </c>
      <c r="Y283" s="588">
        <f>Y282-Y$273</f>
        <v>0.84999999999990905</v>
      </c>
    </row>
    <row r="284" spans="1:26" ht="16.149999999999999" thickBot="1">
      <c r="A284" s="434">
        <v>45080</v>
      </c>
      <c r="B284" s="435">
        <f t="shared" si="33"/>
        <v>0.86458333333333337</v>
      </c>
      <c r="C284" s="435" t="s">
        <v>43</v>
      </c>
      <c r="D284" s="556" t="s">
        <v>206</v>
      </c>
      <c r="E284" s="324" t="s">
        <v>24</v>
      </c>
      <c r="F284" s="593" t="s">
        <v>26</v>
      </c>
      <c r="G284" s="528">
        <v>20.2011</v>
      </c>
      <c r="H284" s="528">
        <v>23.787700000000001</v>
      </c>
      <c r="I284" s="594">
        <v>21.615100000000002</v>
      </c>
      <c r="J284" s="595">
        <v>23.5519</v>
      </c>
      <c r="K284" s="421">
        <v>24.44</v>
      </c>
      <c r="L284" s="422">
        <v>23.416</v>
      </c>
      <c r="M284" s="423">
        <v>-2147.4839999999999</v>
      </c>
      <c r="N284" s="423">
        <v>-65</v>
      </c>
      <c r="O284" s="423">
        <v>-60.018999999999998</v>
      </c>
      <c r="P284" s="423">
        <v>-2E-3</v>
      </c>
      <c r="Q284" s="424">
        <v>3.0000000000000001E-3</v>
      </c>
      <c r="R284" s="329" t="str">
        <f t="shared" si="30"/>
        <v>1,76</v>
      </c>
      <c r="S284" s="329"/>
      <c r="T284" s="340"/>
      <c r="U284" s="511" t="s">
        <v>249</v>
      </c>
      <c r="V284" s="329"/>
      <c r="W284" s="329"/>
      <c r="X284" s="330">
        <v>810.64</v>
      </c>
      <c r="Y284" s="330">
        <v>598.79899999999998</v>
      </c>
    </row>
    <row r="285" spans="1:26">
      <c r="A285" s="316">
        <v>45082</v>
      </c>
      <c r="B285" s="361">
        <f>IF(U285&lt;&gt;0,TIMEVALUE(LEFT(U285,2)&amp;":"&amp;MID(U285,3,2)),"")</f>
        <v>0.5854166666666667</v>
      </c>
      <c r="C285" s="317" t="s">
        <v>43</v>
      </c>
      <c r="D285" s="332" t="s">
        <v>194</v>
      </c>
      <c r="F285" s="542" t="s">
        <v>25</v>
      </c>
      <c r="G285" s="363">
        <v>20.326335200000003</v>
      </c>
      <c r="H285" s="363">
        <v>23.626529999999999</v>
      </c>
      <c r="I285" s="365">
        <v>21.561900000000001</v>
      </c>
      <c r="J285" s="364">
        <v>23.68008</v>
      </c>
      <c r="K285" s="366">
        <v>24.44</v>
      </c>
      <c r="L285" s="367">
        <v>23.416</v>
      </c>
      <c r="R285" s="315" t="str">
        <f t="shared" si="30"/>
        <v>0,20</v>
      </c>
      <c r="S285" s="315">
        <v>35</v>
      </c>
      <c r="T285" s="339">
        <v>4.0271679999999996</v>
      </c>
      <c r="U285" s="510" t="s">
        <v>250</v>
      </c>
      <c r="V285" s="315">
        <v>-1.1000000000000001E-3</v>
      </c>
      <c r="W285" s="315">
        <v>1.1000000000000001E-3</v>
      </c>
      <c r="X285" s="588"/>
      <c r="Y285" s="588"/>
      <c r="Z285" s="333" t="s">
        <v>251</v>
      </c>
    </row>
    <row r="286" spans="1:26">
      <c r="A286" s="316">
        <v>45082</v>
      </c>
      <c r="B286" s="361">
        <f>IF(U286&lt;&gt;0,TIMEVALUE(LEFT(U286,2)&amp;":"&amp;MID(U286,3,2)),"")</f>
        <v>0.58402777777777781</v>
      </c>
      <c r="C286" s="317" t="s">
        <v>43</v>
      </c>
      <c r="D286" s="332" t="s">
        <v>194</v>
      </c>
      <c r="F286" s="542" t="s">
        <v>26</v>
      </c>
      <c r="G286" s="363">
        <v>20.3323</v>
      </c>
      <c r="H286" s="363">
        <v>23.625699999999998</v>
      </c>
      <c r="I286" s="365">
        <v>21.5334</v>
      </c>
      <c r="J286" s="364">
        <v>23.667400000000001</v>
      </c>
      <c r="K286" s="366">
        <v>24.44</v>
      </c>
      <c r="L286" s="367">
        <v>23.416</v>
      </c>
      <c r="M286" s="368">
        <v>-2147.4839999999999</v>
      </c>
      <c r="N286" s="368">
        <v>-65</v>
      </c>
      <c r="O286" s="368">
        <v>-60.018999999999998</v>
      </c>
      <c r="P286" s="368">
        <v>-2E-3</v>
      </c>
      <c r="Q286" s="369">
        <v>3.0000000000000001E-3</v>
      </c>
      <c r="R286" s="315" t="str">
        <f>IF(OR(ISNUMBER(FIND("mirror",$F286)),ISNUMBER(FIND("retro",$F286))),"0,20",(IF(ISNUMBER(FIND("sMATF LED",$F286)),"1,76","")))</f>
        <v>1,76</v>
      </c>
      <c r="U286" s="510" t="s">
        <v>252</v>
      </c>
      <c r="X286" s="612">
        <v>807.67</v>
      </c>
      <c r="Y286" s="612">
        <v>601.55999999999995</v>
      </c>
    </row>
    <row r="287" spans="1:26">
      <c r="A287" s="316">
        <v>45082</v>
      </c>
      <c r="B287" s="361">
        <f>IF(U287&lt;&gt;0,TIMEVALUE(LEFT(U287,2)&amp;":"&amp;MID(U287,3,2)),"")</f>
        <v>0.59097222222222223</v>
      </c>
      <c r="C287" s="317" t="s">
        <v>43</v>
      </c>
      <c r="D287" s="332" t="s">
        <v>120</v>
      </c>
      <c r="F287" s="542" t="s">
        <v>25</v>
      </c>
      <c r="G287" s="363">
        <v>20.3323</v>
      </c>
      <c r="H287" s="363">
        <v>23.625699999999998</v>
      </c>
      <c r="I287" s="365">
        <v>21.5334</v>
      </c>
      <c r="J287" s="364">
        <v>23.667400000000001</v>
      </c>
      <c r="K287" s="366">
        <v>24.44</v>
      </c>
      <c r="L287" s="367">
        <v>23.416</v>
      </c>
      <c r="R287" s="315" t="str">
        <f>IF(OR(ISNUMBER(FIND("mirror",$F287)),ISNUMBER(FIND("retro",$F287))),"0,20",(IF(ISNUMBER(FIND("sMATF LED",$F287)),"1,76","")))</f>
        <v>0,20</v>
      </c>
      <c r="U287" s="510" t="s">
        <v>253</v>
      </c>
      <c r="V287" s="315">
        <v>-2.5000000000000001E-3</v>
      </c>
      <c r="W287" s="315">
        <v>2.8E-3</v>
      </c>
      <c r="X287" s="612"/>
      <c r="Y287" s="612"/>
    </row>
    <row r="288" spans="1:26">
      <c r="A288" s="316">
        <v>45082</v>
      </c>
      <c r="B288" s="361">
        <f>IF(U288&lt;&gt;0,TIMEVALUE(LEFT(U288,2)&amp;":"&amp;MID(U288,3,2)),"")</f>
        <v>0.59166666666666667</v>
      </c>
      <c r="C288" s="317" t="s">
        <v>43</v>
      </c>
      <c r="D288" s="332" t="s">
        <v>120</v>
      </c>
      <c r="F288" s="542" t="s">
        <v>26</v>
      </c>
      <c r="G288" s="363">
        <v>20.3323</v>
      </c>
      <c r="H288" s="363">
        <v>23.625699999999998</v>
      </c>
      <c r="I288" s="365">
        <v>21.5334</v>
      </c>
      <c r="J288" s="364">
        <v>23.667400000000001</v>
      </c>
      <c r="K288" s="366">
        <v>24.44</v>
      </c>
      <c r="L288" s="367">
        <v>23.416</v>
      </c>
      <c r="R288" s="315" t="str">
        <f>IF(OR(ISNUMBER(FIND("mirror",$F288)),ISNUMBER(FIND("retro",$F288))),"0,20",(IF(ISNUMBER(FIND("sMATF LED",$F288)),"1,76","")))</f>
        <v>1,76</v>
      </c>
      <c r="U288" s="510" t="s">
        <v>254</v>
      </c>
      <c r="X288" s="612">
        <v>809.77499999999998</v>
      </c>
      <c r="Y288" s="612">
        <v>598.69600000000003</v>
      </c>
    </row>
    <row r="289" spans="1:26">
      <c r="A289" s="316">
        <v>45082</v>
      </c>
      <c r="B289" s="361">
        <f t="shared" ref="B289:B326" si="34">IF(U289&lt;&gt;0,TIMEVALUE(LEFT(U289,2)&amp;":"&amp;MID(U289,3,2)),"")</f>
        <v>0.6</v>
      </c>
      <c r="C289" s="317" t="s">
        <v>43</v>
      </c>
      <c r="D289" s="332" t="s">
        <v>120</v>
      </c>
      <c r="F289" s="542" t="s">
        <v>25</v>
      </c>
      <c r="G289" s="363">
        <v>20.3323</v>
      </c>
      <c r="H289" s="363">
        <v>23.625699999999998</v>
      </c>
      <c r="I289" s="365">
        <v>21.5334</v>
      </c>
      <c r="J289" s="364">
        <v>23.667400000000001</v>
      </c>
      <c r="K289" s="366">
        <v>24.44</v>
      </c>
      <c r="L289" s="367">
        <v>23.416</v>
      </c>
      <c r="R289" s="315" t="str">
        <f>IF(OR(ISNUMBER(FIND("mirror",$F289)),ISNUMBER(FIND("retro",$F289))),"0,20",(IF(ISNUMBER(FIND("sMATF LED",$F289)),"1,76","")))</f>
        <v>0,20</v>
      </c>
      <c r="U289" s="510" t="s">
        <v>255</v>
      </c>
      <c r="V289" s="315">
        <v>-2.8E-3</v>
      </c>
      <c r="W289" s="315">
        <v>3.2000000000000002E-3</v>
      </c>
      <c r="X289" s="588">
        <f>X288-X$288</f>
        <v>0</v>
      </c>
      <c r="Y289" s="588">
        <f>Y288-Y$288</f>
        <v>0</v>
      </c>
    </row>
    <row r="290" spans="1:26">
      <c r="A290" s="316">
        <v>45082</v>
      </c>
      <c r="B290" s="361">
        <f t="shared" si="34"/>
        <v>0.59861111111111109</v>
      </c>
      <c r="C290" s="317" t="s">
        <v>43</v>
      </c>
      <c r="D290" s="332" t="s">
        <v>120</v>
      </c>
      <c r="F290" s="542" t="s">
        <v>26</v>
      </c>
      <c r="G290" s="363">
        <v>20.3323</v>
      </c>
      <c r="H290" s="363">
        <v>23.625699999999998</v>
      </c>
      <c r="I290" s="365">
        <v>21.5334</v>
      </c>
      <c r="J290" s="364">
        <v>23.667400000000001</v>
      </c>
      <c r="K290" s="366">
        <v>24.44</v>
      </c>
      <c r="L290" s="367">
        <v>23.416</v>
      </c>
      <c r="R290" s="315" t="str">
        <f t="shared" ref="R290:R326" si="35">IF(OR(ISNUMBER(FIND("mirror",$F290)),ISNUMBER(FIND("retro",$F290))),"0,20",(IF(ISNUMBER(FIND("sMATF LED",$F290)),"1,76","")))</f>
        <v>1,76</v>
      </c>
      <c r="U290" s="510" t="s">
        <v>256</v>
      </c>
      <c r="X290" s="612">
        <v>809.9</v>
      </c>
      <c r="Y290" s="612">
        <v>598.6</v>
      </c>
    </row>
    <row r="291" spans="1:26">
      <c r="A291" s="316">
        <v>45082</v>
      </c>
      <c r="B291" s="361">
        <f t="shared" si="34"/>
        <v>0.60555555555555551</v>
      </c>
      <c r="C291" s="317" t="s">
        <v>43</v>
      </c>
      <c r="D291" s="332" t="s">
        <v>120</v>
      </c>
      <c r="F291" s="542" t="s">
        <v>25</v>
      </c>
      <c r="G291" s="363">
        <v>20.3323</v>
      </c>
      <c r="H291" s="363">
        <v>23.625699999999998</v>
      </c>
      <c r="I291" s="365">
        <v>21.5334</v>
      </c>
      <c r="J291" s="364">
        <v>23.667400000000001</v>
      </c>
      <c r="K291" s="366">
        <v>24.44</v>
      </c>
      <c r="L291" s="367">
        <v>23.416</v>
      </c>
      <c r="R291" s="315" t="str">
        <f t="shared" si="35"/>
        <v>0,20</v>
      </c>
      <c r="U291" s="510" t="s">
        <v>257</v>
      </c>
      <c r="V291" s="315">
        <v>-2.8E-3</v>
      </c>
      <c r="W291" s="315">
        <v>3.5000000000000001E-3</v>
      </c>
      <c r="X291" s="588">
        <f>X290-X$288</f>
        <v>0.125</v>
      </c>
      <c r="Y291" s="588">
        <f>Y290-Y$288</f>
        <v>-9.6000000000003638E-2</v>
      </c>
    </row>
    <row r="292" spans="1:26">
      <c r="A292" s="316">
        <v>45082</v>
      </c>
      <c r="B292" s="361">
        <f t="shared" si="34"/>
        <v>0.60625000000000007</v>
      </c>
      <c r="C292" s="317" t="s">
        <v>43</v>
      </c>
      <c r="D292" s="332" t="s">
        <v>120</v>
      </c>
      <c r="F292" s="542" t="s">
        <v>26</v>
      </c>
      <c r="G292" s="363">
        <v>20.3323</v>
      </c>
      <c r="H292" s="363">
        <v>23.625699999999998</v>
      </c>
      <c r="I292" s="365">
        <v>21.5334</v>
      </c>
      <c r="J292" s="364">
        <v>23.667400000000001</v>
      </c>
      <c r="K292" s="366">
        <v>24.44</v>
      </c>
      <c r="L292" s="367">
        <v>23.416</v>
      </c>
      <c r="R292" s="315" t="str">
        <f t="shared" si="35"/>
        <v>1,76</v>
      </c>
      <c r="U292" s="510" t="s">
        <v>258</v>
      </c>
      <c r="X292" s="612">
        <v>810.68</v>
      </c>
      <c r="Y292" s="612">
        <v>597.79600000000005</v>
      </c>
    </row>
    <row r="293" spans="1:26">
      <c r="A293" s="316">
        <v>45082</v>
      </c>
      <c r="B293" s="361">
        <f t="shared" si="34"/>
        <v>0.62222222222222223</v>
      </c>
      <c r="C293" s="317" t="s">
        <v>43</v>
      </c>
      <c r="D293" s="332" t="s">
        <v>120</v>
      </c>
      <c r="F293" s="542" t="s">
        <v>25</v>
      </c>
      <c r="G293" s="363">
        <v>20.3323</v>
      </c>
      <c r="H293" s="363">
        <v>23.625699999999998</v>
      </c>
      <c r="I293" s="365">
        <v>21.5334</v>
      </c>
      <c r="J293" s="364">
        <v>23.667400000000001</v>
      </c>
      <c r="K293" s="366">
        <v>24.44</v>
      </c>
      <c r="L293" s="367">
        <v>23.416</v>
      </c>
      <c r="R293" s="315" t="str">
        <f t="shared" si="35"/>
        <v>0,20</v>
      </c>
      <c r="U293" s="510" t="s">
        <v>259</v>
      </c>
      <c r="V293" s="315">
        <v>-2.8E-3</v>
      </c>
      <c r="W293" s="315">
        <v>3.5000000000000001E-3</v>
      </c>
      <c r="X293" s="588">
        <f>X292-X$288</f>
        <v>0.90499999999997272</v>
      </c>
      <c r="Y293" s="588">
        <f>Y292-Y$288</f>
        <v>-0.89999999999997726</v>
      </c>
    </row>
    <row r="294" spans="1:26">
      <c r="A294" s="316">
        <v>45082</v>
      </c>
      <c r="B294" s="361">
        <f t="shared" si="34"/>
        <v>0.61319444444444449</v>
      </c>
      <c r="C294" s="317" t="s">
        <v>43</v>
      </c>
      <c r="D294" s="332" t="s">
        <v>120</v>
      </c>
      <c r="F294" s="542" t="s">
        <v>26</v>
      </c>
      <c r="G294" s="363">
        <v>20.3323</v>
      </c>
      <c r="H294" s="363">
        <v>23.625699999999998</v>
      </c>
      <c r="I294" s="365">
        <v>21.5334</v>
      </c>
      <c r="J294" s="364">
        <v>23.667400000000001</v>
      </c>
      <c r="K294" s="366">
        <v>24.44</v>
      </c>
      <c r="L294" s="367">
        <v>23.416</v>
      </c>
      <c r="R294" s="315" t="str">
        <f t="shared" si="35"/>
        <v>1,76</v>
      </c>
      <c r="U294" s="510" t="s">
        <v>260</v>
      </c>
      <c r="X294" s="612">
        <v>810.7</v>
      </c>
      <c r="Y294" s="612">
        <v>598.6</v>
      </c>
    </row>
    <row r="295" spans="1:26">
      <c r="A295" s="316">
        <v>45082</v>
      </c>
      <c r="B295" s="361">
        <f t="shared" si="34"/>
        <v>0.62569444444444444</v>
      </c>
      <c r="C295" s="317" t="s">
        <v>43</v>
      </c>
      <c r="D295" s="332" t="s">
        <v>120</v>
      </c>
      <c r="F295" s="542" t="s">
        <v>25</v>
      </c>
      <c r="G295" s="363">
        <v>20.3323</v>
      </c>
      <c r="H295" s="363">
        <v>23.625699999999998</v>
      </c>
      <c r="I295" s="365">
        <v>21.5334</v>
      </c>
      <c r="J295" s="364">
        <v>23.667400000000001</v>
      </c>
      <c r="K295" s="366">
        <v>24.44</v>
      </c>
      <c r="L295" s="367">
        <v>23.416</v>
      </c>
      <c r="R295" s="315" t="str">
        <f t="shared" si="35"/>
        <v>0,20</v>
      </c>
      <c r="U295" s="510" t="s">
        <v>261</v>
      </c>
      <c r="V295" s="315">
        <v>-2.8E-3</v>
      </c>
      <c r="W295" s="315">
        <v>3.5000000000000001E-3</v>
      </c>
      <c r="X295" s="588">
        <f>X294-X$288</f>
        <v>0.92500000000006821</v>
      </c>
      <c r="Y295" s="588">
        <f>Y294-Y$288</f>
        <v>-9.6000000000003638E-2</v>
      </c>
    </row>
    <row r="296" spans="1:26">
      <c r="A296" s="316">
        <v>45082</v>
      </c>
      <c r="B296" s="361">
        <f t="shared" si="34"/>
        <v>0.6333333333333333</v>
      </c>
      <c r="C296" s="317" t="s">
        <v>43</v>
      </c>
      <c r="D296" s="332" t="s">
        <v>120</v>
      </c>
      <c r="F296" s="542" t="s">
        <v>26</v>
      </c>
      <c r="G296" s="363">
        <v>20.3323</v>
      </c>
      <c r="H296" s="363">
        <v>23.625699999999998</v>
      </c>
      <c r="I296" s="365">
        <v>21.5334</v>
      </c>
      <c r="J296" s="364">
        <v>23.667400000000001</v>
      </c>
      <c r="K296" s="366">
        <v>24.44</v>
      </c>
      <c r="L296" s="367">
        <v>23.416</v>
      </c>
      <c r="R296" s="315" t="str">
        <f t="shared" si="35"/>
        <v>1,76</v>
      </c>
      <c r="U296" s="510" t="s">
        <v>262</v>
      </c>
      <c r="X296" s="612">
        <v>810.66</v>
      </c>
      <c r="Y296" s="612">
        <v>598.60699999999997</v>
      </c>
    </row>
    <row r="297" spans="1:26">
      <c r="A297" s="316">
        <v>45082</v>
      </c>
      <c r="B297" s="361">
        <f t="shared" si="34"/>
        <v>0.63402777777777775</v>
      </c>
      <c r="C297" s="317" t="s">
        <v>43</v>
      </c>
      <c r="D297" s="332" t="s">
        <v>120</v>
      </c>
      <c r="F297" s="542" t="s">
        <v>25</v>
      </c>
      <c r="G297" s="363">
        <v>20.3323</v>
      </c>
      <c r="H297" s="363">
        <v>23.625699999999998</v>
      </c>
      <c r="I297" s="365">
        <v>21.5334</v>
      </c>
      <c r="J297" s="364">
        <v>23.667400000000001</v>
      </c>
      <c r="K297" s="366">
        <v>24.44</v>
      </c>
      <c r="L297" s="367">
        <v>23.416</v>
      </c>
      <c r="R297" s="315" t="str">
        <f t="shared" si="35"/>
        <v>0,20</v>
      </c>
      <c r="U297" s="510" t="s">
        <v>263</v>
      </c>
      <c r="V297" s="315">
        <v>-2.8E-3</v>
      </c>
      <c r="W297" s="315">
        <v>3.5000000000000001E-3</v>
      </c>
      <c r="X297" s="588">
        <f>X296-X$288</f>
        <v>0.88499999999999091</v>
      </c>
      <c r="Y297" s="588">
        <f>Y296-Y$288</f>
        <v>-8.9000000000055479E-2</v>
      </c>
    </row>
    <row r="298" spans="1:26">
      <c r="A298" s="316">
        <v>45082</v>
      </c>
      <c r="B298" s="361">
        <f t="shared" si="34"/>
        <v>0.64027777777777783</v>
      </c>
      <c r="C298" s="317" t="s">
        <v>43</v>
      </c>
      <c r="D298" s="332" t="s">
        <v>264</v>
      </c>
      <c r="E298" s="317" t="s">
        <v>24</v>
      </c>
      <c r="F298" s="535" t="s">
        <v>25</v>
      </c>
      <c r="G298" s="363">
        <v>20.3323</v>
      </c>
      <c r="H298" s="363">
        <v>23.625699999999998</v>
      </c>
      <c r="I298" s="365">
        <v>21.5334</v>
      </c>
      <c r="J298" s="364">
        <v>23.667400000000001</v>
      </c>
      <c r="K298" s="366">
        <v>24.44</v>
      </c>
      <c r="L298" s="367">
        <v>23.416</v>
      </c>
      <c r="M298" s="368">
        <v>-2147.4839999999999</v>
      </c>
      <c r="N298" s="368">
        <v>-65</v>
      </c>
      <c r="O298" s="368">
        <v>-60.018999999999998</v>
      </c>
      <c r="P298" s="368">
        <v>-2E-3</v>
      </c>
      <c r="Q298" s="369">
        <v>3.0000000000000001E-3</v>
      </c>
      <c r="R298" s="315" t="str">
        <f t="shared" si="35"/>
        <v>0,20</v>
      </c>
      <c r="S298" s="315">
        <v>19</v>
      </c>
      <c r="T298" s="339">
        <v>4.0217320000000001</v>
      </c>
      <c r="U298" s="510" t="s">
        <v>265</v>
      </c>
      <c r="V298" s="341">
        <v>-2.8E-3</v>
      </c>
      <c r="W298" s="341">
        <v>3.5000000000000001E-3</v>
      </c>
    </row>
    <row r="299" spans="1:26">
      <c r="A299" s="316">
        <v>45082</v>
      </c>
      <c r="B299" s="361">
        <f t="shared" si="34"/>
        <v>0.63888888888888895</v>
      </c>
      <c r="C299" s="317" t="s">
        <v>43</v>
      </c>
      <c r="D299" s="332" t="s">
        <v>264</v>
      </c>
      <c r="E299" s="317" t="s">
        <v>24</v>
      </c>
      <c r="F299" s="535" t="s">
        <v>26</v>
      </c>
      <c r="G299" s="363">
        <v>20.3323</v>
      </c>
      <c r="H299" s="363">
        <v>23.625699999999998</v>
      </c>
      <c r="I299" s="365">
        <v>21.5334</v>
      </c>
      <c r="J299" s="364">
        <v>23.667400000000001</v>
      </c>
      <c r="K299" s="366">
        <v>24.44</v>
      </c>
      <c r="L299" s="367">
        <v>23.416</v>
      </c>
      <c r="M299" s="368">
        <v>-2147.4839999999999</v>
      </c>
      <c r="N299" s="368">
        <v>-65</v>
      </c>
      <c r="O299" s="368">
        <v>-60.018999999999998</v>
      </c>
      <c r="P299" s="368">
        <v>-2E-3</v>
      </c>
      <c r="Q299" s="369">
        <v>3.0000000000000001E-3</v>
      </c>
      <c r="R299" s="315" t="str">
        <f t="shared" si="35"/>
        <v>1,76</v>
      </c>
      <c r="U299" s="510" t="s">
        <v>266</v>
      </c>
      <c r="X299" s="613">
        <v>810.68499999999995</v>
      </c>
      <c r="Y299" s="613">
        <v>598.59799999999996</v>
      </c>
    </row>
    <row r="300" spans="1:26">
      <c r="A300" s="316">
        <v>45082</v>
      </c>
      <c r="B300" s="361">
        <v>0.64652777777777781</v>
      </c>
      <c r="C300" s="317" t="s">
        <v>43</v>
      </c>
      <c r="D300" s="332" t="s">
        <v>264</v>
      </c>
      <c r="E300" s="317" t="s">
        <v>24</v>
      </c>
      <c r="F300" s="535" t="s">
        <v>27</v>
      </c>
      <c r="G300" s="363">
        <v>20.3323</v>
      </c>
      <c r="H300" s="363">
        <v>23.625699999999998</v>
      </c>
      <c r="I300" s="365">
        <v>21.5334</v>
      </c>
      <c r="J300" s="364">
        <v>23.667400000000001</v>
      </c>
      <c r="K300" s="366">
        <v>24.152999999999999</v>
      </c>
      <c r="L300" s="367">
        <v>23.75</v>
      </c>
      <c r="M300" s="368">
        <v>-2147.4839999999999</v>
      </c>
      <c r="N300" s="368">
        <v>-65</v>
      </c>
      <c r="O300" s="368">
        <v>-60.018999999999998</v>
      </c>
      <c r="P300" s="368">
        <v>-2E-3</v>
      </c>
      <c r="Q300" s="369">
        <v>3.0000000000000001E-3</v>
      </c>
      <c r="R300" s="315" t="str">
        <f t="shared" si="35"/>
        <v>0,20</v>
      </c>
      <c r="S300" s="315">
        <v>15</v>
      </c>
      <c r="T300" s="339">
        <v>4.0322509999999996</v>
      </c>
    </row>
    <row r="301" spans="1:26">
      <c r="A301" s="316">
        <v>45082</v>
      </c>
      <c r="B301" s="361">
        <v>0.6479166666666667</v>
      </c>
      <c r="C301" s="317" t="s">
        <v>43</v>
      </c>
      <c r="D301" s="332" t="s">
        <v>264</v>
      </c>
      <c r="E301" s="317" t="s">
        <v>24</v>
      </c>
      <c r="F301" s="535" t="s">
        <v>28</v>
      </c>
      <c r="G301" s="363">
        <v>20.3323</v>
      </c>
      <c r="H301" s="363">
        <v>23.625699999999998</v>
      </c>
      <c r="I301" s="365">
        <v>21.5334</v>
      </c>
      <c r="J301" s="364">
        <v>23.667400000000001</v>
      </c>
      <c r="K301" s="366">
        <v>24.63</v>
      </c>
      <c r="L301" s="367">
        <v>23.18</v>
      </c>
      <c r="M301" s="368">
        <v>-2147.4839999999999</v>
      </c>
      <c r="N301" s="368">
        <v>-65</v>
      </c>
      <c r="O301" s="368">
        <v>-60.018999999999998</v>
      </c>
      <c r="P301" s="368">
        <v>-2E-3</v>
      </c>
      <c r="Q301" s="369">
        <v>3.0000000000000001E-3</v>
      </c>
      <c r="R301" s="315" t="str">
        <f t="shared" si="35"/>
        <v>0,20</v>
      </c>
      <c r="S301" s="315">
        <v>7</v>
      </c>
      <c r="T301" s="339">
        <v>4.7633279999999996</v>
      </c>
      <c r="Z301" s="333" t="s">
        <v>267</v>
      </c>
    </row>
    <row r="302" spans="1:26">
      <c r="A302" s="316">
        <v>45082</v>
      </c>
      <c r="B302" s="361">
        <f t="shared" si="34"/>
        <v>0.66388888888888886</v>
      </c>
      <c r="C302" s="317" t="s">
        <v>43</v>
      </c>
      <c r="D302" s="332" t="s">
        <v>264</v>
      </c>
      <c r="E302" s="317" t="s">
        <v>24</v>
      </c>
      <c r="F302" s="535" t="s">
        <v>31</v>
      </c>
      <c r="G302" s="363">
        <v>20.3323</v>
      </c>
      <c r="H302" s="363">
        <v>23.625699999999998</v>
      </c>
      <c r="I302" s="365">
        <v>21.5334</v>
      </c>
      <c r="J302" s="364">
        <v>23.667400000000001</v>
      </c>
      <c r="K302" s="366">
        <v>24.44</v>
      </c>
      <c r="L302" s="367">
        <v>23.416</v>
      </c>
      <c r="M302" s="368">
        <v>101.51300000000001</v>
      </c>
      <c r="N302" s="368">
        <v>125.72799999999999</v>
      </c>
      <c r="O302" s="368">
        <v>1E-3</v>
      </c>
      <c r="P302" s="368">
        <v>0.10580000000000001</v>
      </c>
      <c r="Q302" s="369">
        <v>8.6699999999999999E-2</v>
      </c>
      <c r="R302" s="315" t="str">
        <f t="shared" si="35"/>
        <v>0,20</v>
      </c>
      <c r="S302" s="315">
        <v>25</v>
      </c>
      <c r="T302" s="339">
        <v>3.4721790000000001</v>
      </c>
      <c r="U302" s="510" t="s">
        <v>268</v>
      </c>
      <c r="V302" s="315">
        <v>-2.5000000000000001E-3</v>
      </c>
      <c r="W302" s="315">
        <v>2.8E-3</v>
      </c>
    </row>
    <row r="303" spans="1:26">
      <c r="A303" s="316">
        <v>45082</v>
      </c>
      <c r="B303" s="361">
        <f t="shared" si="34"/>
        <v>0.67638888888888893</v>
      </c>
      <c r="C303" s="317" t="s">
        <v>43</v>
      </c>
      <c r="D303" s="332" t="s">
        <v>264</v>
      </c>
      <c r="E303" s="317" t="s">
        <v>24</v>
      </c>
      <c r="F303" s="535" t="s">
        <v>32</v>
      </c>
      <c r="G303" s="363">
        <v>20.3323</v>
      </c>
      <c r="H303" s="363">
        <v>23.625699999999998</v>
      </c>
      <c r="I303" s="365">
        <v>21.5334</v>
      </c>
      <c r="J303" s="364">
        <v>23.667400000000001</v>
      </c>
      <c r="K303" s="366">
        <v>24.44</v>
      </c>
      <c r="L303" s="367">
        <v>23.416</v>
      </c>
      <c r="M303" s="484">
        <v>88.679000000000002</v>
      </c>
      <c r="N303" s="484">
        <v>108.149</v>
      </c>
      <c r="O303" s="484">
        <v>-2E-3</v>
      </c>
      <c r="P303" s="368">
        <v>0.10580000000000001</v>
      </c>
      <c r="Q303" s="369">
        <v>8.6800000000000002E-2</v>
      </c>
      <c r="R303" s="514">
        <v>1131</v>
      </c>
      <c r="U303" s="510" t="s">
        <v>269</v>
      </c>
      <c r="X303" s="612">
        <v>810.78</v>
      </c>
      <c r="Y303" s="612">
        <v>597.96299999999997</v>
      </c>
    </row>
    <row r="304" spans="1:26">
      <c r="A304" s="316">
        <v>45082</v>
      </c>
      <c r="B304" s="361">
        <v>0.68125000000000002</v>
      </c>
      <c r="C304" s="317" t="s">
        <v>43</v>
      </c>
      <c r="D304" s="332" t="s">
        <v>264</v>
      </c>
      <c r="E304" s="317" t="s">
        <v>24</v>
      </c>
      <c r="F304" s="535" t="s">
        <v>33</v>
      </c>
      <c r="G304" s="363">
        <v>20.3323</v>
      </c>
      <c r="H304" s="363">
        <v>23.625699999999998</v>
      </c>
      <c r="I304" s="365">
        <v>21.5334</v>
      </c>
      <c r="J304" s="364">
        <v>23.667400000000001</v>
      </c>
      <c r="K304" s="366">
        <v>24.44</v>
      </c>
      <c r="L304" s="367">
        <v>23.416</v>
      </c>
      <c r="M304" s="368">
        <v>105.901</v>
      </c>
      <c r="N304" s="368">
        <v>99.040999999999997</v>
      </c>
      <c r="O304" s="368">
        <v>-1E-3</v>
      </c>
      <c r="P304" s="368">
        <v>0.1061</v>
      </c>
      <c r="Q304" s="369">
        <v>8.6800000000000002E-2</v>
      </c>
      <c r="R304" s="315" t="str">
        <f t="shared" si="35"/>
        <v>0,20</v>
      </c>
      <c r="S304" s="315">
        <v>31</v>
      </c>
      <c r="T304" s="339">
        <v>3.4586079999999999</v>
      </c>
      <c r="X304" s="612"/>
      <c r="Y304" s="612"/>
    </row>
    <row r="305" spans="1:26">
      <c r="A305" s="316">
        <v>45082</v>
      </c>
      <c r="B305" s="361">
        <f t="shared" si="34"/>
        <v>0.69652777777777775</v>
      </c>
      <c r="C305" s="317" t="s">
        <v>43</v>
      </c>
      <c r="D305" s="332" t="s">
        <v>264</v>
      </c>
      <c r="E305" s="317" t="s">
        <v>24</v>
      </c>
      <c r="F305" s="535" t="s">
        <v>34</v>
      </c>
      <c r="G305" s="363">
        <v>20.3323</v>
      </c>
      <c r="H305" s="363">
        <v>23.625699999999998</v>
      </c>
      <c r="I305" s="365">
        <v>21.5334</v>
      </c>
      <c r="J305" s="364">
        <v>23.667400000000001</v>
      </c>
      <c r="K305" s="366">
        <v>24.44</v>
      </c>
      <c r="L305" s="367">
        <v>23.416</v>
      </c>
      <c r="M305" s="368">
        <v>-76.119</v>
      </c>
      <c r="N305" s="368">
        <v>125.7</v>
      </c>
      <c r="O305" s="368">
        <v>-2E-3</v>
      </c>
      <c r="P305" s="368">
        <v>8.1600000000000006E-3</v>
      </c>
      <c r="Q305" s="369">
        <v>7.8200000000000006E-2</v>
      </c>
      <c r="R305" s="315" t="str">
        <f t="shared" si="35"/>
        <v>0,20</v>
      </c>
      <c r="S305" s="315">
        <v>14</v>
      </c>
      <c r="T305" s="339">
        <v>3.4721500000000001</v>
      </c>
      <c r="U305" s="510" t="s">
        <v>270</v>
      </c>
      <c r="V305" s="315">
        <v>-3.5000000000000001E-3</v>
      </c>
      <c r="W305" s="315">
        <v>3.8999999999999998E-3</v>
      </c>
      <c r="X305" s="612"/>
      <c r="Y305" s="612"/>
    </row>
    <row r="306" spans="1:26">
      <c r="A306" s="316">
        <v>45082</v>
      </c>
      <c r="B306" s="361">
        <f t="shared" si="34"/>
        <v>0.70347222222222217</v>
      </c>
      <c r="C306" s="317" t="s">
        <v>43</v>
      </c>
      <c r="D306" s="332" t="s">
        <v>264</v>
      </c>
      <c r="E306" s="317" t="s">
        <v>24</v>
      </c>
      <c r="F306" s="535" t="s">
        <v>35</v>
      </c>
      <c r="G306" s="363">
        <v>20.3323</v>
      </c>
      <c r="H306" s="363">
        <v>23.625699999999998</v>
      </c>
      <c r="I306" s="365">
        <v>21.5334</v>
      </c>
      <c r="J306" s="364">
        <v>23.667400000000001</v>
      </c>
      <c r="K306" s="366">
        <v>24.44</v>
      </c>
      <c r="L306" s="367">
        <v>23.416</v>
      </c>
      <c r="M306" s="368">
        <v>-60.423999999999999</v>
      </c>
      <c r="N306" s="368">
        <v>108.06100000000001</v>
      </c>
      <c r="O306" s="368">
        <v>-3.0000000000000001E-3</v>
      </c>
      <c r="P306" s="368">
        <v>8.1600000000000006E-3</v>
      </c>
      <c r="Q306" s="369">
        <v>7.8200000000000006E-2</v>
      </c>
      <c r="R306" s="514">
        <v>1128</v>
      </c>
      <c r="U306" s="510" t="s">
        <v>271</v>
      </c>
      <c r="X306" s="612">
        <v>810.58600000000001</v>
      </c>
      <c r="Y306" s="612">
        <v>598.85599999999999</v>
      </c>
    </row>
    <row r="307" spans="1:26">
      <c r="A307" s="316">
        <v>45082</v>
      </c>
      <c r="B307" s="361">
        <v>0.70694444444444438</v>
      </c>
      <c r="C307" s="317" t="s">
        <v>43</v>
      </c>
      <c r="D307" s="332" t="s">
        <v>264</v>
      </c>
      <c r="E307" s="317" t="s">
        <v>24</v>
      </c>
      <c r="F307" s="535" t="s">
        <v>36</v>
      </c>
      <c r="G307" s="363">
        <v>20.3323</v>
      </c>
      <c r="H307" s="363">
        <v>23.625699999999998</v>
      </c>
      <c r="I307" s="365">
        <v>21.5334</v>
      </c>
      <c r="J307" s="364">
        <v>23.667400000000001</v>
      </c>
      <c r="K307" s="366">
        <v>24.44</v>
      </c>
      <c r="L307" s="367">
        <v>23.416</v>
      </c>
      <c r="M307" s="368">
        <v>-72.08</v>
      </c>
      <c r="N307" s="368">
        <v>98.977999999999994</v>
      </c>
      <c r="O307" s="368">
        <v>0</v>
      </c>
      <c r="P307" s="368">
        <v>8.1600000000000006E-3</v>
      </c>
      <c r="Q307" s="369">
        <v>7.8200000000000006E-2</v>
      </c>
      <c r="R307" s="315" t="str">
        <f t="shared" si="35"/>
        <v>0,20</v>
      </c>
      <c r="S307" s="315">
        <v>8</v>
      </c>
      <c r="T307" s="339">
        <v>3.4585729999999999</v>
      </c>
      <c r="X307" s="612"/>
      <c r="Y307" s="612"/>
    </row>
    <row r="308" spans="1:26">
      <c r="A308" s="316">
        <v>45082</v>
      </c>
      <c r="B308" s="361">
        <f t="shared" si="34"/>
        <v>0.71666666666666667</v>
      </c>
      <c r="C308" s="317" t="s">
        <v>43</v>
      </c>
      <c r="D308" s="332" t="s">
        <v>264</v>
      </c>
      <c r="F308" s="535" t="s">
        <v>25</v>
      </c>
      <c r="G308" s="363">
        <v>20.3323</v>
      </c>
      <c r="H308" s="363">
        <v>23.625699999999998</v>
      </c>
      <c r="I308" s="365">
        <v>21.5334</v>
      </c>
      <c r="J308" s="364">
        <v>23.667400000000001</v>
      </c>
      <c r="K308" s="366">
        <v>24.44</v>
      </c>
      <c r="L308" s="367">
        <v>23.416</v>
      </c>
      <c r="M308" s="368">
        <v>-2147.4839999999999</v>
      </c>
      <c r="N308" s="368">
        <v>-65</v>
      </c>
      <c r="O308" s="368">
        <v>-60.018999999999998</v>
      </c>
      <c r="P308" s="368">
        <v>-2E-3</v>
      </c>
      <c r="Q308" s="369">
        <v>3.0000000000000001E-3</v>
      </c>
      <c r="R308" s="315" t="str">
        <f t="shared" si="35"/>
        <v>0,20</v>
      </c>
      <c r="S308" s="315">
        <v>11</v>
      </c>
      <c r="T308" s="339">
        <v>4.0217049999999999</v>
      </c>
      <c r="U308" s="510" t="s">
        <v>272</v>
      </c>
      <c r="V308" s="315">
        <v>-2.8E-3</v>
      </c>
      <c r="W308" s="315">
        <v>3.8999999999999998E-3</v>
      </c>
      <c r="X308" s="612"/>
      <c r="Y308" s="612"/>
    </row>
    <row r="309" spans="1:26">
      <c r="A309" s="316">
        <v>45082</v>
      </c>
      <c r="B309" s="361">
        <f t="shared" si="34"/>
        <v>0.71805555555555556</v>
      </c>
      <c r="C309" s="317" t="s">
        <v>43</v>
      </c>
      <c r="D309" s="332" t="s">
        <v>264</v>
      </c>
      <c r="F309" s="535" t="s">
        <v>26</v>
      </c>
      <c r="G309" s="363">
        <v>20.3323</v>
      </c>
      <c r="H309" s="363">
        <v>23.625699999999998</v>
      </c>
      <c r="I309" s="365">
        <v>21.5334</v>
      </c>
      <c r="J309" s="364">
        <v>23.667400000000001</v>
      </c>
      <c r="K309" s="366">
        <v>24.44</v>
      </c>
      <c r="L309" s="367">
        <v>23.416</v>
      </c>
      <c r="M309" s="368">
        <v>-2147.4839999999999</v>
      </c>
      <c r="N309" s="368">
        <v>-65</v>
      </c>
      <c r="O309" s="368">
        <v>-60.018999999999998</v>
      </c>
      <c r="P309" s="368">
        <v>-2E-3</v>
      </c>
      <c r="Q309" s="369">
        <v>3.0000000000000001E-3</v>
      </c>
      <c r="R309" s="315" t="str">
        <f t="shared" si="35"/>
        <v>1,76</v>
      </c>
      <c r="U309" s="510" t="s">
        <v>273</v>
      </c>
      <c r="V309" s="614">
        <f>V308-V298</f>
        <v>0</v>
      </c>
      <c r="W309" s="614">
        <f>W308-W298</f>
        <v>3.9999999999999975E-4</v>
      </c>
      <c r="X309" s="612">
        <v>810.75400000000002</v>
      </c>
      <c r="Y309" s="612">
        <v>598.63599999999997</v>
      </c>
    </row>
    <row r="310" spans="1:26">
      <c r="A310" s="316">
        <v>45082</v>
      </c>
      <c r="B310" s="361">
        <v>0.72083333333333333</v>
      </c>
      <c r="C310" s="317" t="s">
        <v>43</v>
      </c>
      <c r="D310" s="332" t="s">
        <v>264</v>
      </c>
      <c r="F310" s="535" t="s">
        <v>27</v>
      </c>
      <c r="G310" s="363">
        <v>20.3323</v>
      </c>
      <c r="H310" s="363">
        <v>23.625699999999998</v>
      </c>
      <c r="I310" s="365">
        <v>21.5334</v>
      </c>
      <c r="J310" s="364">
        <v>23.667400000000001</v>
      </c>
      <c r="K310" s="366">
        <v>24.152999999999999</v>
      </c>
      <c r="L310" s="367">
        <v>23.75</v>
      </c>
      <c r="M310" s="368">
        <v>-2147.4839999999999</v>
      </c>
      <c r="N310" s="368">
        <v>-65</v>
      </c>
      <c r="O310" s="368">
        <v>-60.018999999999998</v>
      </c>
      <c r="P310" s="368">
        <v>-2E-3</v>
      </c>
      <c r="Q310" s="369">
        <v>3.0000000000000001E-3</v>
      </c>
      <c r="R310" s="315" t="str">
        <f t="shared" si="35"/>
        <v>0,20</v>
      </c>
      <c r="S310" s="315">
        <v>11</v>
      </c>
      <c r="T310" s="339">
        <v>4.0322430000000002</v>
      </c>
      <c r="X310" s="588">
        <f>X309-X$299</f>
        <v>6.9000000000073669E-2</v>
      </c>
      <c r="Y310" s="588">
        <f>Y309-Y$299</f>
        <v>3.8000000000010914E-2</v>
      </c>
    </row>
    <row r="311" spans="1:26" s="523" customFormat="1">
      <c r="A311" s="615">
        <v>45082</v>
      </c>
      <c r="B311" s="518">
        <v>0.72222222222222221</v>
      </c>
      <c r="C311" s="520" t="s">
        <v>43</v>
      </c>
      <c r="D311" s="616" t="s">
        <v>264</v>
      </c>
      <c r="E311" s="520"/>
      <c r="F311" s="543" t="s">
        <v>28</v>
      </c>
      <c r="G311" s="528">
        <v>20.3323</v>
      </c>
      <c r="H311" s="528">
        <v>23.625699999999998</v>
      </c>
      <c r="I311" s="594">
        <v>21.5334</v>
      </c>
      <c r="J311" s="595">
        <v>23.667400000000001</v>
      </c>
      <c r="K311" s="453">
        <v>24.63</v>
      </c>
      <c r="L311" s="454">
        <v>23.18</v>
      </c>
      <c r="M311" s="617">
        <v>-2147.4839999999999</v>
      </c>
      <c r="N311" s="617">
        <v>-65</v>
      </c>
      <c r="O311" s="617">
        <v>-60.018999999999998</v>
      </c>
      <c r="P311" s="617">
        <v>-2E-3</v>
      </c>
      <c r="Q311" s="618">
        <v>3.0000000000000001E-3</v>
      </c>
      <c r="R311" s="523" t="str">
        <f t="shared" si="35"/>
        <v>0,20</v>
      </c>
      <c r="S311" s="523">
        <v>7</v>
      </c>
      <c r="T311" s="524">
        <v>4.7633260000000002</v>
      </c>
      <c r="U311" s="525"/>
      <c r="X311" s="526"/>
      <c r="Y311" s="526"/>
      <c r="Z311" s="527"/>
    </row>
    <row r="312" spans="1:26">
      <c r="A312" s="316">
        <v>45084</v>
      </c>
      <c r="B312" s="361">
        <v>0.9</v>
      </c>
      <c r="C312" s="317" t="s">
        <v>274</v>
      </c>
      <c r="D312" s="332" t="s">
        <v>275</v>
      </c>
      <c r="F312" s="535"/>
      <c r="G312" s="363">
        <v>20.3323</v>
      </c>
      <c r="H312" s="363">
        <v>23.625699999999998</v>
      </c>
      <c r="I312" s="365">
        <v>20.93</v>
      </c>
      <c r="J312" s="364">
        <v>23.37</v>
      </c>
      <c r="K312" s="366">
        <v>24.152999999999999</v>
      </c>
      <c r="L312" s="367">
        <v>23.75</v>
      </c>
      <c r="M312" s="320">
        <v>525</v>
      </c>
      <c r="N312" s="320">
        <v>-400</v>
      </c>
      <c r="O312" s="320">
        <v>0</v>
      </c>
      <c r="P312" s="320">
        <v>0</v>
      </c>
      <c r="Q312" s="321">
        <v>0</v>
      </c>
      <c r="R312" s="315" t="s">
        <v>82</v>
      </c>
      <c r="U312" s="510" t="s">
        <v>276</v>
      </c>
      <c r="V312" s="315">
        <v>1.52E-2</v>
      </c>
      <c r="W312" s="315">
        <v>-0.1406</v>
      </c>
      <c r="X312" s="322">
        <v>1251.5999999999999</v>
      </c>
      <c r="Y312" s="322">
        <v>175.5</v>
      </c>
      <c r="Z312" s="333" t="s">
        <v>277</v>
      </c>
    </row>
    <row r="313" spans="1:26">
      <c r="A313" s="316">
        <v>45082</v>
      </c>
      <c r="B313" s="361">
        <f t="shared" ref="B313:B314" si="36">IF(U313&lt;&gt;0,TIMEVALUE(LEFT(U313,2)&amp;":"&amp;MID(U313,3,2)),"")</f>
        <v>0.90347222222222223</v>
      </c>
      <c r="C313" s="317" t="s">
        <v>274</v>
      </c>
      <c r="D313" s="332" t="s">
        <v>275</v>
      </c>
      <c r="F313" s="535"/>
      <c r="G313" s="363">
        <v>20.3323</v>
      </c>
      <c r="H313" s="363">
        <v>23.625699999999998</v>
      </c>
      <c r="I313" s="365">
        <v>20.93</v>
      </c>
      <c r="J313" s="364">
        <v>23.37</v>
      </c>
      <c r="K313" s="366">
        <v>24.152999999999999</v>
      </c>
      <c r="L313" s="367">
        <v>23.75</v>
      </c>
      <c r="M313" s="320">
        <v>525</v>
      </c>
      <c r="N313" s="320">
        <v>-400</v>
      </c>
      <c r="O313" s="320">
        <v>0</v>
      </c>
      <c r="P313" s="320">
        <v>0</v>
      </c>
      <c r="Q313" s="321">
        <v>0</v>
      </c>
      <c r="R313" s="315" t="s">
        <v>68</v>
      </c>
      <c r="U313" s="510" t="s">
        <v>278</v>
      </c>
      <c r="Z313" s="333" t="s">
        <v>279</v>
      </c>
    </row>
    <row r="314" spans="1:26">
      <c r="A314" s="316">
        <v>45082</v>
      </c>
      <c r="B314" s="361">
        <f t="shared" si="36"/>
        <v>0.90625</v>
      </c>
      <c r="C314" s="317" t="s">
        <v>274</v>
      </c>
      <c r="D314" s="332" t="s">
        <v>275</v>
      </c>
      <c r="G314" s="363">
        <v>20.3323</v>
      </c>
      <c r="H314" s="363">
        <v>23.625699999999998</v>
      </c>
      <c r="I314" s="365">
        <v>20.68</v>
      </c>
      <c r="J314" s="364">
        <v>23.37</v>
      </c>
      <c r="K314" s="366">
        <v>24.152999999999999</v>
      </c>
      <c r="L314" s="367">
        <v>23.75</v>
      </c>
      <c r="M314" s="320">
        <v>525</v>
      </c>
      <c r="N314" s="320">
        <v>-400</v>
      </c>
      <c r="O314" s="320">
        <v>0</v>
      </c>
      <c r="P314" s="320">
        <v>0</v>
      </c>
      <c r="Q314" s="321">
        <v>0</v>
      </c>
      <c r="R314" s="315" t="s">
        <v>68</v>
      </c>
      <c r="U314" s="510" t="s">
        <v>280</v>
      </c>
      <c r="Z314" s="333" t="s">
        <v>281</v>
      </c>
    </row>
    <row r="315" spans="1:26" s="329" customFormat="1" ht="16.149999999999999" thickBot="1">
      <c r="A315" s="651">
        <v>45090</v>
      </c>
      <c r="B315" s="435">
        <v>0.4236111111111111</v>
      </c>
      <c r="C315" s="324" t="s">
        <v>38</v>
      </c>
      <c r="D315" s="556" t="s">
        <v>282</v>
      </c>
      <c r="E315" s="324"/>
      <c r="F315" s="555"/>
      <c r="G315" s="652"/>
      <c r="H315" s="652"/>
      <c r="I315" s="326"/>
      <c r="J315" s="325"/>
      <c r="K315" s="653"/>
      <c r="L315" s="654"/>
      <c r="M315" s="327"/>
      <c r="N315" s="327"/>
      <c r="O315" s="327"/>
      <c r="P315" s="327"/>
      <c r="Q315" s="328"/>
      <c r="R315" s="329" t="str">
        <f t="shared" si="35"/>
        <v/>
      </c>
      <c r="T315" s="340"/>
      <c r="U315" s="511"/>
      <c r="X315" s="330"/>
      <c r="Y315" s="330"/>
      <c r="Z315" s="334"/>
    </row>
    <row r="316" spans="1:26">
      <c r="A316" s="316">
        <v>45090</v>
      </c>
      <c r="B316" s="361">
        <v>0.68819444444444444</v>
      </c>
      <c r="C316" s="317" t="s">
        <v>38</v>
      </c>
      <c r="D316" s="332" t="s">
        <v>283</v>
      </c>
      <c r="U316" s="510" t="s">
        <v>284</v>
      </c>
    </row>
    <row r="317" spans="1:26">
      <c r="A317" s="316">
        <v>45090</v>
      </c>
      <c r="B317" s="361">
        <v>0.66527777777777775</v>
      </c>
      <c r="C317" s="317" t="s">
        <v>38</v>
      </c>
      <c r="D317" s="332" t="s">
        <v>285</v>
      </c>
      <c r="G317" s="363">
        <v>20.3323</v>
      </c>
      <c r="H317" s="363">
        <v>23.625699999999998</v>
      </c>
      <c r="I317" s="365">
        <v>21.5334</v>
      </c>
      <c r="J317" s="364">
        <v>23.667400000000001</v>
      </c>
      <c r="K317" s="366">
        <v>24.44</v>
      </c>
      <c r="L317" s="367">
        <v>23.416</v>
      </c>
    </row>
    <row r="318" spans="1:26">
      <c r="A318" s="316">
        <v>45090</v>
      </c>
      <c r="B318" s="361">
        <v>0.71527777777777779</v>
      </c>
      <c r="C318" s="317" t="s">
        <v>38</v>
      </c>
      <c r="D318" s="332" t="s">
        <v>286</v>
      </c>
      <c r="E318" s="317" t="s">
        <v>287</v>
      </c>
      <c r="F318" s="542" t="s">
        <v>26</v>
      </c>
      <c r="G318" s="655">
        <v>20.8735</v>
      </c>
      <c r="H318" s="655">
        <v>23.811</v>
      </c>
      <c r="I318" s="656">
        <v>21.816400000000002</v>
      </c>
      <c r="J318" s="657">
        <v>24.149000000000001</v>
      </c>
      <c r="K318" s="658">
        <v>24.44</v>
      </c>
      <c r="L318" s="659">
        <v>23.42</v>
      </c>
      <c r="R318" s="315" t="s">
        <v>82</v>
      </c>
      <c r="U318" s="510" t="s">
        <v>288</v>
      </c>
      <c r="X318" s="322">
        <v>807.36199999999997</v>
      </c>
      <c r="Y318" s="322">
        <v>602.37300000000005</v>
      </c>
    </row>
    <row r="319" spans="1:26">
      <c r="A319" s="316">
        <v>45090</v>
      </c>
      <c r="B319" s="361">
        <v>0.71666666666666667</v>
      </c>
      <c r="C319" s="317" t="s">
        <v>38</v>
      </c>
      <c r="D319" s="332" t="s">
        <v>289</v>
      </c>
      <c r="E319" s="317" t="s">
        <v>287</v>
      </c>
      <c r="F319" s="542" t="s">
        <v>25</v>
      </c>
      <c r="G319" s="655">
        <v>20.8735</v>
      </c>
      <c r="H319" s="655">
        <v>23.811</v>
      </c>
      <c r="I319" s="656">
        <v>21.816400000000002</v>
      </c>
      <c r="J319" s="657">
        <v>24.149000000000001</v>
      </c>
      <c r="K319" s="658">
        <v>24.44</v>
      </c>
      <c r="L319" s="659">
        <v>23.42</v>
      </c>
      <c r="R319" s="315" t="s">
        <v>290</v>
      </c>
      <c r="U319" s="510" t="s">
        <v>291</v>
      </c>
      <c r="V319" s="315">
        <v>-3.5000000000000001E-3</v>
      </c>
      <c r="W319" s="315">
        <v>3.2000000000000002E-3</v>
      </c>
    </row>
    <row r="320" spans="1:26" s="329" customFormat="1" ht="16.149999999999999" thickBot="1">
      <c r="A320" s="651">
        <v>45091</v>
      </c>
      <c r="B320" s="435">
        <v>0.42430555555555555</v>
      </c>
      <c r="C320" s="324" t="s">
        <v>38</v>
      </c>
      <c r="D320" s="556" t="s">
        <v>292</v>
      </c>
      <c r="E320" s="324"/>
      <c r="F320" s="541"/>
      <c r="G320" s="662">
        <v>20.8735</v>
      </c>
      <c r="H320" s="662">
        <v>23.811</v>
      </c>
      <c r="I320" s="663">
        <v>21.816400000000002</v>
      </c>
      <c r="J320" s="664">
        <v>24.149000000000001</v>
      </c>
      <c r="K320" s="653"/>
      <c r="L320" s="654"/>
      <c r="M320" s="327"/>
      <c r="N320" s="327"/>
      <c r="O320" s="660"/>
      <c r="P320" s="327"/>
      <c r="Q320" s="328"/>
      <c r="T320" s="340"/>
      <c r="U320" s="511"/>
      <c r="X320" s="330"/>
      <c r="Y320" s="330"/>
      <c r="Z320" s="334"/>
    </row>
    <row r="321" spans="1:26" ht="15.75">
      <c r="A321" s="316">
        <v>45091</v>
      </c>
      <c r="B321" s="361">
        <v>0.48541666666666666</v>
      </c>
      <c r="C321" s="317" t="s">
        <v>38</v>
      </c>
      <c r="D321" s="332" t="s">
        <v>293</v>
      </c>
      <c r="F321" s="535" t="s">
        <v>25</v>
      </c>
      <c r="G321" s="318">
        <v>20.8735</v>
      </c>
      <c r="H321" s="318">
        <v>23.811</v>
      </c>
      <c r="I321" s="323">
        <v>21.816400000000002</v>
      </c>
      <c r="J321" s="319">
        <v>24.149000000000001</v>
      </c>
      <c r="K321" s="337">
        <v>24.434000000000001</v>
      </c>
      <c r="L321" s="338">
        <v>23.417999999999999</v>
      </c>
      <c r="M321" s="320">
        <v>-2147</v>
      </c>
      <c r="N321" s="320">
        <v>-65</v>
      </c>
      <c r="O321" s="661">
        <v>0</v>
      </c>
      <c r="P321" s="320">
        <v>0</v>
      </c>
      <c r="Q321" s="321">
        <v>0</v>
      </c>
      <c r="R321" s="315" t="s">
        <v>290</v>
      </c>
      <c r="S321" s="315">
        <v>8</v>
      </c>
      <c r="T321" s="339">
        <v>4.0239380000000002</v>
      </c>
      <c r="U321" s="510" t="s">
        <v>294</v>
      </c>
      <c r="V321" s="315">
        <v>-6.3E-3</v>
      </c>
      <c r="W321" s="315">
        <v>9.1000000000000004E-3</v>
      </c>
      <c r="Z321" s="333" t="s">
        <v>295</v>
      </c>
    </row>
    <row r="322" spans="1:26" ht="15.75">
      <c r="A322" s="316">
        <v>45091</v>
      </c>
      <c r="B322" s="665">
        <v>0.53055555555555556</v>
      </c>
      <c r="C322" s="666" t="s">
        <v>38</v>
      </c>
      <c r="D322" s="332" t="s">
        <v>293</v>
      </c>
      <c r="F322" s="535" t="s">
        <v>26</v>
      </c>
      <c r="G322" s="318">
        <v>20.8735</v>
      </c>
      <c r="H322" s="318">
        <v>23.811</v>
      </c>
      <c r="I322" s="323">
        <v>21.816400000000002</v>
      </c>
      <c r="J322" s="319">
        <v>24.149000000000001</v>
      </c>
      <c r="K322" s="337">
        <v>24.434000000000001</v>
      </c>
      <c r="L322" s="338">
        <v>23.417999999999999</v>
      </c>
      <c r="M322" s="320">
        <v>-2147</v>
      </c>
      <c r="N322" s="320">
        <v>-65</v>
      </c>
      <c r="O322" s="661">
        <v>0</v>
      </c>
      <c r="P322" s="320">
        <v>0</v>
      </c>
      <c r="Q322" s="321">
        <v>0</v>
      </c>
      <c r="R322" s="315" t="str">
        <f t="shared" si="35"/>
        <v>1,76</v>
      </c>
      <c r="U322" s="510" t="s">
        <v>296</v>
      </c>
      <c r="X322" s="322">
        <v>814.58399999999995</v>
      </c>
      <c r="Y322" s="322">
        <v>597.53</v>
      </c>
    </row>
    <row r="323" spans="1:26" ht="15.75">
      <c r="A323" s="316">
        <v>45091</v>
      </c>
      <c r="B323" s="665">
        <f t="shared" si="34"/>
        <v>0.42500000000000004</v>
      </c>
      <c r="C323" s="666" t="s">
        <v>38</v>
      </c>
      <c r="D323" s="332" t="s">
        <v>293</v>
      </c>
      <c r="E323" s="317" t="s">
        <v>24</v>
      </c>
      <c r="F323" s="535" t="s">
        <v>31</v>
      </c>
      <c r="G323" s="318">
        <v>20.8735</v>
      </c>
      <c r="H323" s="318">
        <v>23.811</v>
      </c>
      <c r="I323" s="323">
        <v>21.816400000000002</v>
      </c>
      <c r="J323" s="319">
        <v>24.149000000000001</v>
      </c>
      <c r="K323" s="337">
        <v>24.439</v>
      </c>
      <c r="L323" s="338">
        <v>23.413</v>
      </c>
      <c r="M323" s="320">
        <v>101.51600000000001</v>
      </c>
      <c r="N323" s="320">
        <v>125.735</v>
      </c>
      <c r="O323" s="320">
        <v>3.0000000000000001E-3</v>
      </c>
      <c r="P323" s="320">
        <v>0.1085</v>
      </c>
      <c r="Q323" s="321">
        <v>8.8499999999999995E-2</v>
      </c>
      <c r="R323" s="315" t="s">
        <v>290</v>
      </c>
      <c r="S323" s="315">
        <v>37</v>
      </c>
      <c r="T323" s="339">
        <v>3.4744269999999999</v>
      </c>
      <c r="U323" s="510" t="s">
        <v>297</v>
      </c>
      <c r="V323" s="315">
        <v>-5.5999999999999999E-3</v>
      </c>
      <c r="W323" s="315">
        <v>9.7999999999999997E-3</v>
      </c>
      <c r="Z323" s="333" t="s">
        <v>298</v>
      </c>
    </row>
    <row r="324" spans="1:26" ht="15.75">
      <c r="A324" s="316">
        <v>45091</v>
      </c>
      <c r="B324" s="665">
        <f t="shared" si="34"/>
        <v>0.76527777777777772</v>
      </c>
      <c r="C324" s="666" t="s">
        <v>38</v>
      </c>
      <c r="D324" s="332" t="s">
        <v>293</v>
      </c>
      <c r="E324" s="317" t="s">
        <v>24</v>
      </c>
      <c r="F324" s="535" t="s">
        <v>32</v>
      </c>
      <c r="G324" s="318">
        <v>20.8735</v>
      </c>
      <c r="H324" s="318">
        <v>23.811</v>
      </c>
      <c r="I324" s="323">
        <v>21.816400000000002</v>
      </c>
      <c r="J324" s="319">
        <v>24.149000000000001</v>
      </c>
      <c r="K324" s="337">
        <v>24.439</v>
      </c>
      <c r="L324" s="338">
        <v>23.413</v>
      </c>
      <c r="M324" s="320">
        <v>88.753</v>
      </c>
      <c r="N324" s="320">
        <v>108.11799999999999</v>
      </c>
      <c r="O324" s="320">
        <v>3.0000000000000001E-3</v>
      </c>
      <c r="P324" s="320">
        <v>0.1086</v>
      </c>
      <c r="Q324" s="321">
        <v>8.8499999999999995E-2</v>
      </c>
      <c r="R324" s="514">
        <v>1135</v>
      </c>
      <c r="U324" s="510" t="s">
        <v>299</v>
      </c>
      <c r="X324" s="322">
        <v>814.80399999999997</v>
      </c>
      <c r="Y324" s="322">
        <v>597.62300000000005</v>
      </c>
    </row>
    <row r="325" spans="1:26" ht="15.75">
      <c r="A325" s="316">
        <v>45091</v>
      </c>
      <c r="B325" s="665">
        <v>0.62222222222222223</v>
      </c>
      <c r="C325" s="666" t="s">
        <v>38</v>
      </c>
      <c r="D325" s="332" t="s">
        <v>293</v>
      </c>
      <c r="F325" s="535" t="s">
        <v>25</v>
      </c>
      <c r="G325" s="318">
        <v>20.8735</v>
      </c>
      <c r="H325" s="318">
        <v>23.811</v>
      </c>
      <c r="I325" s="323">
        <v>21.816400000000002</v>
      </c>
      <c r="J325" s="319">
        <v>24.149000000000001</v>
      </c>
      <c r="K325" s="337">
        <v>24.439</v>
      </c>
      <c r="L325" s="338">
        <v>23.41</v>
      </c>
      <c r="M325" s="320">
        <v>-2147</v>
      </c>
      <c r="N325" s="320">
        <v>-65</v>
      </c>
      <c r="O325" s="661">
        <v>0</v>
      </c>
      <c r="P325" s="320">
        <v>0</v>
      </c>
      <c r="Q325" s="321">
        <v>0</v>
      </c>
      <c r="R325" s="315" t="s">
        <v>290</v>
      </c>
      <c r="S325" s="315">
        <v>8</v>
      </c>
      <c r="T325" s="339">
        <v>4.0239549999999999</v>
      </c>
      <c r="U325" s="510" t="s">
        <v>300</v>
      </c>
      <c r="V325" s="315">
        <v>-7.0000000000000001E-3</v>
      </c>
      <c r="W325" s="315">
        <v>7.7000000000000002E-3</v>
      </c>
      <c r="Z325" s="333" t="s">
        <v>301</v>
      </c>
    </row>
    <row r="326" spans="1:26" s="523" customFormat="1" ht="15.75">
      <c r="A326" s="615">
        <v>45091</v>
      </c>
      <c r="B326" s="518">
        <v>0.62361111111111112</v>
      </c>
      <c r="C326" s="520" t="s">
        <v>38</v>
      </c>
      <c r="D326" s="616" t="s">
        <v>293</v>
      </c>
      <c r="E326" s="520"/>
      <c r="F326" s="543" t="s">
        <v>26</v>
      </c>
      <c r="G326" s="667">
        <v>20.8735</v>
      </c>
      <c r="H326" s="667">
        <v>23.811</v>
      </c>
      <c r="I326" s="529">
        <v>21.816400000000002</v>
      </c>
      <c r="J326" s="530">
        <v>24.149000000000001</v>
      </c>
      <c r="K326" s="668">
        <v>24.439</v>
      </c>
      <c r="L326" s="669">
        <v>23.413</v>
      </c>
      <c r="M326" s="521">
        <v>-2147</v>
      </c>
      <c r="N326" s="521">
        <v>-65</v>
      </c>
      <c r="O326" s="670">
        <v>0</v>
      </c>
      <c r="P326" s="521">
        <v>0</v>
      </c>
      <c r="Q326" s="522">
        <v>0</v>
      </c>
      <c r="R326" s="523" t="s">
        <v>82</v>
      </c>
      <c r="T326" s="524"/>
      <c r="U326" s="525" t="s">
        <v>302</v>
      </c>
      <c r="X326" s="526">
        <v>813.75</v>
      </c>
      <c r="Y326" s="526">
        <v>598.13099999999997</v>
      </c>
      <c r="Z326" s="527"/>
    </row>
    <row r="327" spans="1:26" s="683" customFormat="1" ht="15.75">
      <c r="A327" s="679">
        <v>45091</v>
      </c>
      <c r="B327" s="665" t="s">
        <v>303</v>
      </c>
      <c r="C327" s="666" t="s">
        <v>304</v>
      </c>
      <c r="D327" s="680" t="s">
        <v>293</v>
      </c>
      <c r="E327" s="666" t="s">
        <v>24</v>
      </c>
      <c r="F327" s="535" t="s">
        <v>25</v>
      </c>
      <c r="G327" s="672"/>
      <c r="H327" s="672"/>
      <c r="I327" s="672"/>
      <c r="J327" s="672"/>
      <c r="K327" s="673"/>
      <c r="L327" s="673"/>
      <c r="M327" s="681"/>
      <c r="N327" s="681"/>
      <c r="O327" s="682"/>
      <c r="P327" s="681"/>
      <c r="Q327" s="321"/>
      <c r="R327" s="683" t="s">
        <v>303</v>
      </c>
      <c r="S327" s="683">
        <f>AVERAGE(S321,S325)</f>
        <v>8</v>
      </c>
      <c r="T327" s="683">
        <f t="shared" ref="T327:W327" si="37">AVERAGE(T321,T325)</f>
        <v>4.0239465000000001</v>
      </c>
      <c r="U327" s="683" t="s">
        <v>303</v>
      </c>
      <c r="V327" s="683">
        <f t="shared" si="37"/>
        <v>-6.6499999999999997E-3</v>
      </c>
      <c r="W327" s="683">
        <f t="shared" si="37"/>
        <v>8.4000000000000012E-3</v>
      </c>
      <c r="X327" s="684"/>
      <c r="Y327" s="684"/>
      <c r="Z327" s="685" t="s">
        <v>305</v>
      </c>
    </row>
    <row r="328" spans="1:26" s="523" customFormat="1" ht="15.75">
      <c r="A328" s="615">
        <v>45091</v>
      </c>
      <c r="B328" s="518" t="s">
        <v>303</v>
      </c>
      <c r="C328" s="520" t="s">
        <v>304</v>
      </c>
      <c r="D328" s="616" t="s">
        <v>293</v>
      </c>
      <c r="E328" s="520" t="s">
        <v>24</v>
      </c>
      <c r="F328" s="543" t="s">
        <v>26</v>
      </c>
      <c r="G328" s="667"/>
      <c r="H328" s="667"/>
      <c r="I328" s="667"/>
      <c r="J328" s="667"/>
      <c r="K328" s="668"/>
      <c r="L328" s="668"/>
      <c r="M328" s="521"/>
      <c r="N328" s="521"/>
      <c r="O328" s="670"/>
      <c r="P328" s="521"/>
      <c r="Q328" s="522"/>
      <c r="R328" s="523" t="s">
        <v>303</v>
      </c>
      <c r="T328" s="524"/>
      <c r="U328" s="525"/>
      <c r="X328" s="526">
        <f>AVERAGE(X322,X326)</f>
        <v>814.16699999999992</v>
      </c>
      <c r="Y328" s="526">
        <f>AVERAGE(Y322,Y326)</f>
        <v>597.83050000000003</v>
      </c>
      <c r="Z328" s="527" t="s">
        <v>305</v>
      </c>
    </row>
    <row r="329" spans="1:26" ht="15.75">
      <c r="A329" s="316">
        <v>45092</v>
      </c>
      <c r="B329" s="317">
        <v>0.49444444444444446</v>
      </c>
      <c r="C329" s="317" t="s">
        <v>38</v>
      </c>
      <c r="D329" s="332" t="s">
        <v>306</v>
      </c>
      <c r="G329" s="672">
        <v>20.8735</v>
      </c>
      <c r="H329" s="672">
        <v>23.811</v>
      </c>
      <c r="I329" s="674">
        <v>21.816400000000002</v>
      </c>
      <c r="J329" s="675">
        <v>24.149000000000001</v>
      </c>
      <c r="K329" s="673">
        <v>24.439</v>
      </c>
      <c r="L329" s="676">
        <v>23.413</v>
      </c>
      <c r="U329" s="510" t="s">
        <v>307</v>
      </c>
      <c r="Z329" s="671" t="s">
        <v>308</v>
      </c>
    </row>
    <row r="330" spans="1:26" ht="15.75">
      <c r="A330" s="316">
        <v>45092</v>
      </c>
      <c r="B330" s="361">
        <v>0.53680555555555554</v>
      </c>
      <c r="C330" s="317" t="s">
        <v>38</v>
      </c>
      <c r="D330" s="332" t="s">
        <v>306</v>
      </c>
      <c r="F330" s="535" t="s">
        <v>25</v>
      </c>
      <c r="G330" s="672">
        <v>20.8735</v>
      </c>
      <c r="H330" s="672">
        <v>23.811</v>
      </c>
      <c r="I330" s="674">
        <v>21.816400000000002</v>
      </c>
      <c r="J330" s="675">
        <v>24.149000000000001</v>
      </c>
      <c r="K330" s="673">
        <v>24.439</v>
      </c>
      <c r="L330" s="676">
        <v>23.413</v>
      </c>
      <c r="O330" s="661"/>
      <c r="R330" s="315" t="s">
        <v>60</v>
      </c>
      <c r="U330" s="510" t="s">
        <v>309</v>
      </c>
      <c r="V330" s="315">
        <v>-4.5999999999999999E-3</v>
      </c>
      <c r="W330" s="315">
        <v>2.8E-3</v>
      </c>
      <c r="Z330" s="333" t="s">
        <v>310</v>
      </c>
    </row>
    <row r="331" spans="1:26" ht="15.75">
      <c r="A331" s="316">
        <v>45092</v>
      </c>
      <c r="B331" s="665"/>
      <c r="C331" s="666" t="s">
        <v>38</v>
      </c>
      <c r="D331" s="332" t="s">
        <v>306</v>
      </c>
      <c r="F331" s="535" t="s">
        <v>26</v>
      </c>
      <c r="G331" s="672">
        <v>20.8735</v>
      </c>
      <c r="H331" s="672">
        <v>23.811</v>
      </c>
      <c r="I331" s="674">
        <v>21.816400000000002</v>
      </c>
      <c r="J331" s="675">
        <v>24.149000000000001</v>
      </c>
      <c r="K331" s="673">
        <v>24.439</v>
      </c>
      <c r="L331" s="676">
        <v>23.413</v>
      </c>
      <c r="O331" s="661"/>
      <c r="X331" s="322">
        <v>809.38199999999995</v>
      </c>
      <c r="Y331" s="322">
        <v>589.55700000000002</v>
      </c>
    </row>
    <row r="332" spans="1:26" ht="15.75">
      <c r="A332" s="316">
        <v>45092</v>
      </c>
      <c r="B332" s="361">
        <v>0.56666666666666665</v>
      </c>
      <c r="C332" s="317" t="s">
        <v>38</v>
      </c>
      <c r="D332" s="332" t="s">
        <v>306</v>
      </c>
      <c r="F332" s="535" t="s">
        <v>25</v>
      </c>
      <c r="G332" s="672">
        <v>20.748000000000001</v>
      </c>
      <c r="H332" s="672">
        <v>23.819199999999999</v>
      </c>
      <c r="I332" s="674">
        <v>21.823599999999999</v>
      </c>
      <c r="J332" s="675">
        <v>24.0398</v>
      </c>
      <c r="K332" s="673">
        <v>24.431999999999999</v>
      </c>
      <c r="L332" s="676">
        <v>23.42</v>
      </c>
      <c r="O332" s="661"/>
      <c r="R332" s="315" t="s">
        <v>60</v>
      </c>
      <c r="S332" s="315">
        <v>14</v>
      </c>
      <c r="T332" s="339">
        <v>4.0241170000000004</v>
      </c>
      <c r="U332" s="510" t="s">
        <v>311</v>
      </c>
      <c r="V332" s="315">
        <v>2E-3</v>
      </c>
      <c r="W332" s="315">
        <v>-1E-3</v>
      </c>
      <c r="Z332" s="333" t="s">
        <v>312</v>
      </c>
    </row>
    <row r="333" spans="1:26" ht="15.75">
      <c r="A333" s="316">
        <v>45092</v>
      </c>
      <c r="B333" s="665">
        <v>0.55694444444444446</v>
      </c>
      <c r="C333" s="666" t="s">
        <v>38</v>
      </c>
      <c r="D333" s="332" t="s">
        <v>306</v>
      </c>
      <c r="F333" s="535" t="s">
        <v>26</v>
      </c>
      <c r="G333" s="672">
        <v>20.748000000000001</v>
      </c>
      <c r="H333" s="672">
        <v>23.819199999999999</v>
      </c>
      <c r="I333" s="674">
        <v>21.823599999999999</v>
      </c>
      <c r="J333" s="675">
        <v>24.0398</v>
      </c>
      <c r="K333" s="673">
        <v>24.431999999999999</v>
      </c>
      <c r="L333" s="676">
        <v>23.42</v>
      </c>
      <c r="O333" s="661"/>
      <c r="R333" s="315" t="s">
        <v>313</v>
      </c>
      <c r="U333" s="510" t="s">
        <v>314</v>
      </c>
      <c r="X333" s="322">
        <v>807.57899999999995</v>
      </c>
      <c r="Y333" s="322">
        <v>602.53599999999994</v>
      </c>
    </row>
    <row r="334" spans="1:26" ht="15.75">
      <c r="A334" s="316">
        <v>45092</v>
      </c>
      <c r="B334" s="361">
        <v>0.59722222222222221</v>
      </c>
      <c r="C334" s="317" t="s">
        <v>38</v>
      </c>
      <c r="D334" s="332" t="s">
        <v>306</v>
      </c>
      <c r="F334" s="535" t="s">
        <v>25</v>
      </c>
      <c r="G334" s="672">
        <v>20.748000000000001</v>
      </c>
      <c r="H334" s="672">
        <v>23.819199999999999</v>
      </c>
      <c r="I334" s="674">
        <v>21.823599999999999</v>
      </c>
      <c r="J334" s="675">
        <v>24.0398</v>
      </c>
      <c r="K334" s="337">
        <v>24.431999999999999</v>
      </c>
      <c r="L334" s="338">
        <v>23.42</v>
      </c>
      <c r="O334" s="661"/>
      <c r="R334" s="315" t="s">
        <v>60</v>
      </c>
      <c r="U334" s="510" t="s">
        <v>315</v>
      </c>
      <c r="V334" s="315">
        <v>-3.5000000000000001E-3</v>
      </c>
      <c r="W334" s="315">
        <v>5.5999999999999999E-3</v>
      </c>
    </row>
    <row r="335" spans="1:26" ht="15.75">
      <c r="A335" s="316">
        <v>45092</v>
      </c>
      <c r="B335" s="665">
        <v>0.60069444444444442</v>
      </c>
      <c r="C335" s="666" t="s">
        <v>38</v>
      </c>
      <c r="D335" s="332" t="s">
        <v>306</v>
      </c>
      <c r="F335" s="535" t="s">
        <v>26</v>
      </c>
      <c r="G335" s="318">
        <v>20.748000000000001</v>
      </c>
      <c r="H335" s="318">
        <v>23.819199999999999</v>
      </c>
      <c r="I335" s="323">
        <v>21.823599999999999</v>
      </c>
      <c r="J335" s="319">
        <v>24.0398</v>
      </c>
      <c r="K335" s="337">
        <v>24.431999999999999</v>
      </c>
      <c r="L335" s="338">
        <v>23.42</v>
      </c>
      <c r="O335" s="661"/>
      <c r="R335" s="315" t="s">
        <v>313</v>
      </c>
      <c r="U335" s="510" t="s">
        <v>316</v>
      </c>
      <c r="X335" s="322">
        <v>813.56500000000005</v>
      </c>
      <c r="Y335" s="322">
        <v>598.42700000000002</v>
      </c>
    </row>
    <row r="336" spans="1:26" ht="15.75">
      <c r="A336" s="316">
        <v>45092</v>
      </c>
      <c r="B336" s="361">
        <v>0.61527777777777781</v>
      </c>
      <c r="C336" s="317" t="s">
        <v>38</v>
      </c>
      <c r="D336" s="332" t="s">
        <v>306</v>
      </c>
      <c r="F336" s="535" t="s">
        <v>26</v>
      </c>
      <c r="G336" s="318">
        <v>20.748000000000001</v>
      </c>
      <c r="H336" s="318">
        <v>23.819199999999999</v>
      </c>
      <c r="I336" s="323">
        <v>21.823599999999999</v>
      </c>
      <c r="J336" s="319">
        <v>24.0398</v>
      </c>
      <c r="K336" s="337">
        <v>24.431999999999999</v>
      </c>
      <c r="L336" s="338">
        <v>23.42</v>
      </c>
      <c r="O336" s="661"/>
      <c r="R336" s="315" t="s">
        <v>313</v>
      </c>
      <c r="U336" s="510" t="s">
        <v>317</v>
      </c>
      <c r="X336" s="322">
        <v>811.56299999999999</v>
      </c>
      <c r="Y336" s="322">
        <v>598.67700000000002</v>
      </c>
    </row>
    <row r="337" spans="1:26" ht="15.75">
      <c r="A337" s="316">
        <v>45092</v>
      </c>
      <c r="B337" s="361">
        <v>0.64583333333333337</v>
      </c>
      <c r="C337" s="317" t="s">
        <v>38</v>
      </c>
      <c r="D337" s="332" t="s">
        <v>306</v>
      </c>
      <c r="F337" s="535" t="s">
        <v>26</v>
      </c>
      <c r="G337" s="318">
        <v>20.748000000000001</v>
      </c>
      <c r="H337" s="318">
        <v>23.819199999999999</v>
      </c>
      <c r="I337" s="323">
        <v>21.823599999999999</v>
      </c>
      <c r="J337" s="319">
        <v>24.0398</v>
      </c>
      <c r="K337" s="337">
        <v>24.431999999999999</v>
      </c>
      <c r="L337" s="338">
        <v>23.42</v>
      </c>
      <c r="O337" s="661"/>
      <c r="R337" s="315" t="s">
        <v>313</v>
      </c>
      <c r="U337" s="510" t="s">
        <v>318</v>
      </c>
      <c r="X337" s="322">
        <v>813.38499999999999</v>
      </c>
      <c r="Y337" s="322">
        <v>596.83399999999995</v>
      </c>
      <c r="Z337" s="333" t="s">
        <v>319</v>
      </c>
    </row>
    <row r="338" spans="1:26" ht="15.75">
      <c r="A338" s="316">
        <v>45092</v>
      </c>
      <c r="B338" s="361">
        <v>0.65902777777777777</v>
      </c>
      <c r="C338" s="317" t="s">
        <v>38</v>
      </c>
      <c r="D338" s="332" t="s">
        <v>306</v>
      </c>
      <c r="F338" s="535" t="s">
        <v>25</v>
      </c>
      <c r="G338" s="318">
        <v>20.748000000000001</v>
      </c>
      <c r="H338" s="318">
        <v>23.819199999999999</v>
      </c>
      <c r="I338" s="323">
        <v>21.823599999999999</v>
      </c>
      <c r="J338" s="319">
        <v>24.0398</v>
      </c>
      <c r="K338" s="337">
        <v>24.431999999999999</v>
      </c>
      <c r="L338" s="338">
        <v>23.42</v>
      </c>
      <c r="O338" s="661"/>
      <c r="R338" s="315" t="s">
        <v>60</v>
      </c>
      <c r="U338" s="510" t="s">
        <v>320</v>
      </c>
      <c r="V338" s="315">
        <v>-4.1999999999999997E-3</v>
      </c>
      <c r="W338" s="315">
        <v>6.0000000000000001E-3</v>
      </c>
    </row>
    <row r="339" spans="1:26" ht="15.75">
      <c r="A339" s="316">
        <v>45092</v>
      </c>
      <c r="B339" s="361">
        <v>0.67569444444444438</v>
      </c>
      <c r="C339" s="317" t="s">
        <v>38</v>
      </c>
      <c r="D339" s="332" t="s">
        <v>306</v>
      </c>
      <c r="F339" s="535" t="s">
        <v>26</v>
      </c>
      <c r="G339" s="318">
        <v>20.748000000000001</v>
      </c>
      <c r="H339" s="318">
        <v>23.819199999999999</v>
      </c>
      <c r="I339" s="323">
        <v>21.823599999999999</v>
      </c>
      <c r="J339" s="319">
        <v>24.0398</v>
      </c>
      <c r="K339" s="337">
        <v>24.431999999999999</v>
      </c>
      <c r="L339" s="338">
        <v>23.42</v>
      </c>
      <c r="O339" s="661"/>
      <c r="R339" s="315" t="s">
        <v>313</v>
      </c>
      <c r="U339" s="510" t="s">
        <v>321</v>
      </c>
      <c r="X339" s="322">
        <v>812.69899999999996</v>
      </c>
      <c r="Y339" s="322">
        <v>597.56899999999996</v>
      </c>
      <c r="Z339" s="333" t="s">
        <v>322</v>
      </c>
    </row>
    <row r="340" spans="1:26" ht="15.75">
      <c r="A340" s="316">
        <v>45092</v>
      </c>
      <c r="B340" s="361">
        <v>0.6791666666666667</v>
      </c>
      <c r="C340" s="317" t="s">
        <v>38</v>
      </c>
      <c r="D340" s="332" t="s">
        <v>306</v>
      </c>
      <c r="F340" s="535" t="s">
        <v>26</v>
      </c>
      <c r="G340" s="318">
        <v>20.748000000000001</v>
      </c>
      <c r="H340" s="318">
        <v>23.819199999999999</v>
      </c>
      <c r="I340" s="323">
        <v>21.823599999999999</v>
      </c>
      <c r="J340" s="319">
        <v>24.0398</v>
      </c>
      <c r="K340" s="337">
        <v>24.431999999999999</v>
      </c>
      <c r="L340" s="338">
        <v>23.42</v>
      </c>
      <c r="O340" s="661"/>
      <c r="R340" s="315" t="s">
        <v>323</v>
      </c>
      <c r="U340" s="510" t="s">
        <v>324</v>
      </c>
      <c r="X340" s="322">
        <v>813.31899999999996</v>
      </c>
      <c r="Y340" s="322">
        <v>596.85900000000004</v>
      </c>
      <c r="Z340" s="333" t="s">
        <v>325</v>
      </c>
    </row>
    <row r="341" spans="1:26" ht="15.75">
      <c r="A341" s="316">
        <v>45092</v>
      </c>
      <c r="B341" s="361"/>
      <c r="C341" s="317" t="s">
        <v>38</v>
      </c>
      <c r="D341" s="332" t="s">
        <v>306</v>
      </c>
      <c r="F341" s="535" t="s">
        <v>26</v>
      </c>
      <c r="G341" s="318">
        <v>20.748000000000001</v>
      </c>
      <c r="H341" s="318">
        <v>23.819199999999999</v>
      </c>
      <c r="I341" s="323">
        <v>21.823599999999999</v>
      </c>
      <c r="J341" s="319">
        <v>24.0398</v>
      </c>
      <c r="K341" s="337">
        <v>24.431999999999999</v>
      </c>
      <c r="L341" s="338">
        <v>23.42</v>
      </c>
      <c r="O341" s="661"/>
      <c r="R341" s="315" t="s">
        <v>326</v>
      </c>
      <c r="U341" s="510" t="s">
        <v>327</v>
      </c>
      <c r="X341" s="322">
        <v>813.35799999999995</v>
      </c>
      <c r="Y341" s="322">
        <v>596.82600000000002</v>
      </c>
      <c r="Z341" s="333" t="s">
        <v>325</v>
      </c>
    </row>
    <row r="342" spans="1:26" ht="15.75">
      <c r="A342" s="316">
        <v>45092</v>
      </c>
      <c r="B342" s="361"/>
      <c r="C342" s="317" t="s">
        <v>38</v>
      </c>
      <c r="D342" s="332" t="s">
        <v>306</v>
      </c>
      <c r="F342" s="535" t="s">
        <v>26</v>
      </c>
      <c r="G342" s="318">
        <v>20.748000000000001</v>
      </c>
      <c r="H342" s="318">
        <v>23.819199999999999</v>
      </c>
      <c r="I342" s="323">
        <v>21.823599999999999</v>
      </c>
      <c r="J342" s="319">
        <v>24.0398</v>
      </c>
      <c r="K342" s="337">
        <v>24.431999999999999</v>
      </c>
      <c r="L342" s="338">
        <v>23.42</v>
      </c>
      <c r="O342" s="661"/>
      <c r="R342" s="315" t="s">
        <v>328</v>
      </c>
      <c r="U342" s="510" t="s">
        <v>329</v>
      </c>
      <c r="X342" s="322">
        <v>811.62400000000002</v>
      </c>
      <c r="Y342" s="322">
        <v>596.94299999999998</v>
      </c>
      <c r="Z342" s="333" t="s">
        <v>325</v>
      </c>
    </row>
    <row r="343" spans="1:26" ht="15.75">
      <c r="A343" s="316">
        <v>45092</v>
      </c>
      <c r="B343" s="361">
        <v>0.68888888888888899</v>
      </c>
      <c r="C343" s="317" t="s">
        <v>38</v>
      </c>
      <c r="D343" s="332" t="s">
        <v>306</v>
      </c>
      <c r="F343" s="535" t="s">
        <v>26</v>
      </c>
      <c r="G343" s="318">
        <v>20.748000000000001</v>
      </c>
      <c r="H343" s="318">
        <v>23.819199999999999</v>
      </c>
      <c r="I343" s="323">
        <v>21.823599999999999</v>
      </c>
      <c r="J343" s="319">
        <v>24.0398</v>
      </c>
      <c r="K343" s="337">
        <v>24.431999999999999</v>
      </c>
      <c r="L343" s="338">
        <v>23.42</v>
      </c>
      <c r="O343" s="661"/>
      <c r="R343" s="315" t="s">
        <v>330</v>
      </c>
      <c r="U343" s="510" t="s">
        <v>331</v>
      </c>
      <c r="X343" s="322">
        <v>812.68100000000004</v>
      </c>
      <c r="Y343" s="322">
        <v>597.66200000000003</v>
      </c>
      <c r="Z343" s="333" t="s">
        <v>322</v>
      </c>
    </row>
    <row r="344" spans="1:26" ht="15.75">
      <c r="A344" s="316">
        <v>45092</v>
      </c>
      <c r="B344" s="361">
        <v>0.69027777777777777</v>
      </c>
      <c r="C344" s="317" t="s">
        <v>38</v>
      </c>
      <c r="D344" s="332" t="s">
        <v>306</v>
      </c>
      <c r="F344" s="535" t="s">
        <v>25</v>
      </c>
      <c r="G344" s="318">
        <v>20.748000000000001</v>
      </c>
      <c r="H344" s="318">
        <v>23.819199999999999</v>
      </c>
      <c r="I344" s="323">
        <v>21.823599999999999</v>
      </c>
      <c r="J344" s="319">
        <v>24.0398</v>
      </c>
      <c r="K344" s="337">
        <v>24.431999999999999</v>
      </c>
      <c r="L344" s="338">
        <v>23.42</v>
      </c>
      <c r="O344" s="661"/>
      <c r="R344" s="315" t="s">
        <v>60</v>
      </c>
      <c r="U344" s="510" t="s">
        <v>332</v>
      </c>
      <c r="V344" s="315">
        <v>-4.1999999999999997E-3</v>
      </c>
      <c r="W344" s="315">
        <v>5.5999999999999999E-3</v>
      </c>
    </row>
    <row r="345" spans="1:26" ht="15.75">
      <c r="A345" s="316">
        <v>45092</v>
      </c>
      <c r="B345" s="665">
        <v>0.72569444444444453</v>
      </c>
      <c r="C345" s="666" t="s">
        <v>38</v>
      </c>
      <c r="D345" s="332" t="s">
        <v>306</v>
      </c>
      <c r="E345" s="317" t="s">
        <v>24</v>
      </c>
      <c r="F345" s="535" t="s">
        <v>31</v>
      </c>
      <c r="G345" s="318">
        <v>20.748000000000001</v>
      </c>
      <c r="H345" s="318">
        <v>23.819199999999999</v>
      </c>
      <c r="I345" s="323">
        <v>21.823599999999999</v>
      </c>
      <c r="J345" s="319">
        <v>24.0398</v>
      </c>
      <c r="K345" s="337">
        <v>24.440999999999999</v>
      </c>
      <c r="L345" s="338">
        <v>23.413</v>
      </c>
      <c r="M345" s="320">
        <v>101.518</v>
      </c>
      <c r="N345" s="320">
        <v>125.739</v>
      </c>
      <c r="O345" s="320">
        <v>1E-3</v>
      </c>
      <c r="P345" s="320">
        <v>0.1047</v>
      </c>
      <c r="Q345" s="321">
        <v>8.2199999999999995E-2</v>
      </c>
      <c r="R345" s="315" t="s">
        <v>60</v>
      </c>
      <c r="S345" s="315">
        <v>13</v>
      </c>
      <c r="T345" s="339">
        <v>3.4743889999999999</v>
      </c>
      <c r="U345" s="510" t="s">
        <v>333</v>
      </c>
      <c r="V345" s="315">
        <v>-4.8999999999999998E-3</v>
      </c>
      <c r="W345" s="315">
        <v>5.5999999999999999E-3</v>
      </c>
      <c r="Z345" s="333" t="s">
        <v>298</v>
      </c>
    </row>
    <row r="346" spans="1:26" ht="15.75">
      <c r="A346" s="316">
        <v>45092</v>
      </c>
      <c r="B346" s="665">
        <v>0.74305555555555547</v>
      </c>
      <c r="C346" s="666" t="s">
        <v>38</v>
      </c>
      <c r="D346" s="332" t="s">
        <v>306</v>
      </c>
      <c r="E346" s="317" t="s">
        <v>24</v>
      </c>
      <c r="F346" s="535" t="s">
        <v>32</v>
      </c>
      <c r="G346" s="318">
        <v>20.748000000000001</v>
      </c>
      <c r="H346" s="318">
        <v>23.819199999999999</v>
      </c>
      <c r="I346" s="323">
        <v>21.823599999999999</v>
      </c>
      <c r="J346" s="319">
        <v>24.0398</v>
      </c>
      <c r="K346" s="337">
        <v>24.440999999999999</v>
      </c>
      <c r="L346" s="338">
        <v>23.413</v>
      </c>
      <c r="M346" s="320">
        <v>88.796000000000006</v>
      </c>
      <c r="N346" s="320">
        <v>108.68600000000001</v>
      </c>
      <c r="O346" s="320">
        <v>2E-3</v>
      </c>
      <c r="P346" s="320">
        <v>0.1047</v>
      </c>
      <c r="Q346" s="321">
        <v>8.2199999999999995E-2</v>
      </c>
      <c r="R346" s="514">
        <v>1135</v>
      </c>
      <c r="U346" s="510" t="s">
        <v>334</v>
      </c>
      <c r="X346" s="322">
        <v>812.20100000000002</v>
      </c>
      <c r="Y346" s="322">
        <v>598.029</v>
      </c>
    </row>
    <row r="347" spans="1:26" ht="15.75">
      <c r="A347" s="316">
        <v>45092</v>
      </c>
      <c r="B347" s="665">
        <v>0.75902777777777775</v>
      </c>
      <c r="C347" s="666" t="s">
        <v>38</v>
      </c>
      <c r="D347" s="332" t="s">
        <v>306</v>
      </c>
      <c r="F347" s="535" t="s">
        <v>25</v>
      </c>
      <c r="G347" s="318">
        <v>20.748000000000001</v>
      </c>
      <c r="H347" s="318">
        <v>23.819199999999999</v>
      </c>
      <c r="I347" s="323">
        <v>21.823599999999999</v>
      </c>
      <c r="J347" s="319">
        <v>24.0398</v>
      </c>
      <c r="K347" s="337">
        <v>24.431000000000001</v>
      </c>
      <c r="L347" s="338">
        <v>23.411000000000001</v>
      </c>
      <c r="M347" s="320">
        <v>-2147</v>
      </c>
      <c r="N347" s="320">
        <v>-65</v>
      </c>
      <c r="O347" s="661">
        <v>0</v>
      </c>
      <c r="P347" s="320">
        <v>0</v>
      </c>
      <c r="Q347" s="321">
        <v>0</v>
      </c>
      <c r="R347" s="315" t="s">
        <v>60</v>
      </c>
      <c r="S347" s="315">
        <v>11</v>
      </c>
      <c r="T347" s="339">
        <v>4.024114</v>
      </c>
      <c r="U347" s="510" t="s">
        <v>335</v>
      </c>
      <c r="V347" s="315">
        <v>-4.1999999999999997E-3</v>
      </c>
      <c r="W347" s="315">
        <v>5.5999999999999999E-3</v>
      </c>
      <c r="Z347" s="333" t="s">
        <v>336</v>
      </c>
    </row>
    <row r="348" spans="1:26" s="523" customFormat="1" ht="15.75">
      <c r="A348" s="615">
        <v>45092</v>
      </c>
      <c r="B348" s="518">
        <v>0.76458333333333339</v>
      </c>
      <c r="C348" s="520" t="s">
        <v>38</v>
      </c>
      <c r="D348" s="616" t="s">
        <v>306</v>
      </c>
      <c r="E348" s="520"/>
      <c r="F348" s="543" t="s">
        <v>26</v>
      </c>
      <c r="G348" s="667">
        <v>20.748000000000001</v>
      </c>
      <c r="H348" s="667">
        <v>23.819199999999999</v>
      </c>
      <c r="I348" s="529">
        <v>21.823599999999999</v>
      </c>
      <c r="J348" s="530">
        <v>24.0398</v>
      </c>
      <c r="K348" s="668">
        <v>24.431000000000001</v>
      </c>
      <c r="L348" s="669">
        <v>23.411000000000001</v>
      </c>
      <c r="M348" s="521">
        <v>-2147</v>
      </c>
      <c r="N348" s="521">
        <v>-65</v>
      </c>
      <c r="O348" s="670">
        <v>0</v>
      </c>
      <c r="P348" s="521">
        <v>0</v>
      </c>
      <c r="Q348" s="522">
        <v>0</v>
      </c>
      <c r="R348" s="523" t="s">
        <v>313</v>
      </c>
      <c r="T348" s="524"/>
      <c r="U348" s="525" t="s">
        <v>337</v>
      </c>
      <c r="X348" s="526">
        <v>813.53</v>
      </c>
      <c r="Y348" s="526">
        <v>597.58399999999995</v>
      </c>
      <c r="Z348" s="527"/>
    </row>
    <row r="349" spans="1:26" ht="15.75">
      <c r="A349" s="316">
        <v>45092</v>
      </c>
      <c r="C349" s="317" t="s">
        <v>304</v>
      </c>
      <c r="D349" s="332" t="s">
        <v>306</v>
      </c>
      <c r="E349" s="317" t="s">
        <v>24</v>
      </c>
      <c r="F349" s="542" t="s">
        <v>25</v>
      </c>
      <c r="R349" s="315" t="s">
        <v>303</v>
      </c>
      <c r="S349" s="315">
        <f>AVERAGE(S347,S345)</f>
        <v>12</v>
      </c>
      <c r="T349" s="339">
        <f>T347</f>
        <v>4.024114</v>
      </c>
      <c r="U349" s="510" t="s">
        <v>303</v>
      </c>
      <c r="V349" s="315">
        <f>AVERAGE(V347,V344)</f>
        <v>-4.1999999999999997E-3</v>
      </c>
      <c r="W349" s="315">
        <f>AVERAGE(W347,W344)</f>
        <v>5.5999999999999999E-3</v>
      </c>
      <c r="Z349" s="333" t="s">
        <v>305</v>
      </c>
    </row>
    <row r="350" spans="1:26" s="523" customFormat="1" ht="15.75">
      <c r="A350" s="615">
        <v>45092</v>
      </c>
      <c r="B350" s="520"/>
      <c r="C350" s="520" t="s">
        <v>304</v>
      </c>
      <c r="D350" s="616" t="s">
        <v>306</v>
      </c>
      <c r="E350" s="520" t="s">
        <v>24</v>
      </c>
      <c r="F350" s="678" t="s">
        <v>26</v>
      </c>
      <c r="G350" s="667"/>
      <c r="H350" s="667"/>
      <c r="I350" s="529"/>
      <c r="J350" s="530"/>
      <c r="K350" s="668"/>
      <c r="L350" s="669"/>
      <c r="M350" s="521"/>
      <c r="N350" s="521"/>
      <c r="O350" s="521"/>
      <c r="P350" s="521"/>
      <c r="Q350" s="522"/>
      <c r="R350" s="523" t="s">
        <v>303</v>
      </c>
      <c r="T350" s="524"/>
      <c r="U350" s="525"/>
      <c r="X350" s="526">
        <f>AVERAGE(X348,X343)</f>
        <v>813.10550000000001</v>
      </c>
      <c r="Y350" s="526">
        <f>AVERAGE(Y348,Y343)</f>
        <v>597.62300000000005</v>
      </c>
      <c r="Z350" s="527" t="s">
        <v>305</v>
      </c>
    </row>
    <row r="351" spans="1:26" ht="15.75">
      <c r="A351" s="316">
        <v>45093</v>
      </c>
      <c r="B351" s="317">
        <v>0.74583333333333324</v>
      </c>
      <c r="C351" s="317" t="s">
        <v>38</v>
      </c>
      <c r="D351" s="317" t="s">
        <v>110</v>
      </c>
      <c r="F351" s="535" t="s">
        <v>25</v>
      </c>
      <c r="G351" s="318">
        <v>20.877099999999999</v>
      </c>
      <c r="H351" s="318">
        <v>23.813700000000001</v>
      </c>
      <c r="I351" s="323">
        <v>21.825399999999998</v>
      </c>
      <c r="J351" s="319">
        <v>24.154299999999999</v>
      </c>
      <c r="K351" s="337">
        <v>24.428000000000001</v>
      </c>
      <c r="L351" s="338">
        <v>23.411000000000001</v>
      </c>
      <c r="M351" s="320">
        <v>-2147.4839999999999</v>
      </c>
      <c r="N351" s="320">
        <v>-65.003</v>
      </c>
      <c r="O351" s="320">
        <v>-60.015000000000001</v>
      </c>
      <c r="P351" s="320">
        <v>-1E-4</v>
      </c>
      <c r="Q351" s="321">
        <v>0</v>
      </c>
      <c r="R351" s="315" t="s">
        <v>75</v>
      </c>
      <c r="S351" s="315">
        <v>13</v>
      </c>
      <c r="T351" s="339">
        <v>4.0239479999999999</v>
      </c>
      <c r="U351" s="510" t="s">
        <v>338</v>
      </c>
      <c r="V351" s="315">
        <v>-1.5E-3</v>
      </c>
      <c r="W351" s="315">
        <v>2.5000000000000001E-3</v>
      </c>
      <c r="Z351" s="333" t="s">
        <v>339</v>
      </c>
    </row>
    <row r="352" spans="1:26" ht="15.75">
      <c r="A352" s="316">
        <v>45093</v>
      </c>
      <c r="B352" s="317">
        <v>0.73611111111111116</v>
      </c>
      <c r="C352" s="317" t="s">
        <v>38</v>
      </c>
      <c r="D352" s="317" t="s">
        <v>110</v>
      </c>
      <c r="F352" s="535" t="s">
        <v>26</v>
      </c>
      <c r="G352" s="318">
        <v>20.877099999999999</v>
      </c>
      <c r="H352" s="318">
        <v>23.813700000000001</v>
      </c>
      <c r="I352" s="323">
        <v>21.825399999999998</v>
      </c>
      <c r="J352" s="319">
        <v>24.154299999999999</v>
      </c>
      <c r="K352" s="337">
        <v>24.428000000000001</v>
      </c>
      <c r="L352" s="338">
        <v>23.411000000000001</v>
      </c>
      <c r="M352" s="320">
        <v>-2147.4839999999999</v>
      </c>
      <c r="N352" s="320">
        <v>-65.003</v>
      </c>
      <c r="O352" s="320">
        <v>-60.015000000000001</v>
      </c>
      <c r="P352" s="320">
        <v>-1E-4</v>
      </c>
      <c r="Q352" s="321">
        <v>0</v>
      </c>
      <c r="R352" s="315" t="s">
        <v>82</v>
      </c>
      <c r="U352" s="686" t="s">
        <v>340</v>
      </c>
      <c r="X352" s="322">
        <v>807.62400000000002</v>
      </c>
      <c r="Y352" s="322">
        <v>601.66</v>
      </c>
    </row>
    <row r="353" spans="1:26" ht="15.75">
      <c r="A353" s="316">
        <v>45093</v>
      </c>
      <c r="B353" s="317">
        <v>0.76111111111111107</v>
      </c>
      <c r="C353" s="317" t="s">
        <v>38</v>
      </c>
      <c r="D353" s="317" t="s">
        <v>120</v>
      </c>
      <c r="F353" s="535" t="s">
        <v>25</v>
      </c>
      <c r="G353" s="318">
        <v>20.877099999999999</v>
      </c>
      <c r="H353" s="318">
        <v>23.813700000000001</v>
      </c>
      <c r="I353" s="323">
        <v>21.825399999999998</v>
      </c>
      <c r="J353" s="319">
        <v>24.154299999999999</v>
      </c>
      <c r="K353" s="337">
        <v>24.428000000000001</v>
      </c>
      <c r="L353" s="338">
        <v>23.411000000000001</v>
      </c>
      <c r="M353" s="320">
        <v>-2147.4839999999999</v>
      </c>
      <c r="N353" s="320">
        <v>-65.003</v>
      </c>
      <c r="O353" s="320">
        <v>-60.015000000000001</v>
      </c>
      <c r="P353" s="320">
        <v>-1E-4</v>
      </c>
      <c r="Q353" s="321">
        <v>0</v>
      </c>
      <c r="R353" s="315" t="s">
        <v>51</v>
      </c>
      <c r="U353" s="510" t="s">
        <v>341</v>
      </c>
      <c r="V353" s="315">
        <v>-2.2000000000000001E-3</v>
      </c>
      <c r="W353" s="315">
        <v>3.5000000000000001E-3</v>
      </c>
    </row>
    <row r="354" spans="1:26" ht="15.75">
      <c r="A354" s="316">
        <v>45093</v>
      </c>
      <c r="B354" s="317">
        <v>0.76388888888888884</v>
      </c>
      <c r="C354" s="317" t="s">
        <v>38</v>
      </c>
      <c r="D354" s="317" t="s">
        <v>120</v>
      </c>
      <c r="F354" s="535" t="s">
        <v>26</v>
      </c>
      <c r="G354" s="318">
        <v>20.877099999999999</v>
      </c>
      <c r="H354" s="318">
        <v>23.813700000000001</v>
      </c>
      <c r="I354" s="323">
        <v>21.825399999999998</v>
      </c>
      <c r="J354" s="319">
        <v>24.154299999999999</v>
      </c>
      <c r="K354" s="337">
        <v>24.428000000000001</v>
      </c>
      <c r="L354" s="338">
        <v>23.411000000000001</v>
      </c>
      <c r="M354" s="320">
        <v>-2147.4839999999999</v>
      </c>
      <c r="N354" s="320">
        <v>-65.003</v>
      </c>
      <c r="O354" s="320">
        <v>-60.015000000000001</v>
      </c>
      <c r="P354" s="320">
        <v>-1E-4</v>
      </c>
      <c r="Q354" s="321">
        <v>0</v>
      </c>
      <c r="R354" s="315" t="s">
        <v>67</v>
      </c>
      <c r="U354" s="686" t="s">
        <v>342</v>
      </c>
      <c r="X354" s="322">
        <v>809.63400000000001</v>
      </c>
      <c r="Y354" s="322">
        <v>599.71</v>
      </c>
    </row>
    <row r="355" spans="1:26" ht="15.75">
      <c r="A355" s="316">
        <v>45093</v>
      </c>
      <c r="B355" s="317">
        <v>0.80625000000000002</v>
      </c>
      <c r="C355" s="317" t="s">
        <v>343</v>
      </c>
      <c r="D355" s="317" t="s">
        <v>120</v>
      </c>
      <c r="F355" s="535" t="s">
        <v>25</v>
      </c>
      <c r="G355" s="318">
        <v>20.877099999999999</v>
      </c>
      <c r="H355" s="318">
        <v>23.813700000000001</v>
      </c>
      <c r="I355" s="323">
        <v>21.825399999999998</v>
      </c>
      <c r="J355" s="319">
        <v>24.154299999999999</v>
      </c>
      <c r="K355" s="337">
        <v>24.428000000000001</v>
      </c>
      <c r="L355" s="338">
        <v>23.411000000000001</v>
      </c>
      <c r="M355" s="320">
        <v>-2147.4839999999999</v>
      </c>
      <c r="N355" s="320">
        <v>-65.003</v>
      </c>
      <c r="O355" s="320">
        <v>-60.015000000000001</v>
      </c>
      <c r="P355" s="320">
        <v>-1E-4</v>
      </c>
      <c r="Q355" s="321">
        <v>0</v>
      </c>
      <c r="R355" s="315" t="s">
        <v>55</v>
      </c>
      <c r="U355" s="510" t="s">
        <v>344</v>
      </c>
      <c r="V355" s="315">
        <v>-2.5000000000000001E-3</v>
      </c>
      <c r="W355" s="315">
        <v>3.5000000000000001E-3</v>
      </c>
    </row>
    <row r="356" spans="1:26" ht="15.75">
      <c r="A356" s="316">
        <v>45093</v>
      </c>
      <c r="B356" s="317">
        <v>0.81041666666666667</v>
      </c>
      <c r="C356" s="317" t="s">
        <v>38</v>
      </c>
      <c r="D356" s="317" t="s">
        <v>120</v>
      </c>
      <c r="F356" s="535" t="s">
        <v>26</v>
      </c>
      <c r="G356" s="318">
        <v>20.877099999999999</v>
      </c>
      <c r="H356" s="318">
        <v>23.813700000000001</v>
      </c>
      <c r="I356" s="323">
        <v>21.825399999999998</v>
      </c>
      <c r="J356" s="319">
        <v>24.154299999999999</v>
      </c>
      <c r="K356" s="337">
        <v>24.428000000000001</v>
      </c>
      <c r="L356" s="338">
        <v>23.411000000000001</v>
      </c>
      <c r="M356" s="320">
        <v>-2147.4839999999999</v>
      </c>
      <c r="N356" s="320">
        <v>-65.003</v>
      </c>
      <c r="O356" s="320">
        <v>-60.015000000000001</v>
      </c>
      <c r="P356" s="320">
        <v>-1E-4</v>
      </c>
      <c r="Q356" s="321">
        <v>0</v>
      </c>
      <c r="R356" s="315" t="s">
        <v>345</v>
      </c>
      <c r="U356" s="686" t="s">
        <v>346</v>
      </c>
      <c r="X356" s="322">
        <v>808.6</v>
      </c>
      <c r="Y356" s="322">
        <v>601.53300000000002</v>
      </c>
    </row>
    <row r="357" spans="1:26" ht="15.75">
      <c r="A357" s="316">
        <v>45093</v>
      </c>
      <c r="B357" s="317">
        <v>0.82638888888888884</v>
      </c>
      <c r="C357" s="317" t="s">
        <v>38</v>
      </c>
      <c r="D357" s="317" t="s">
        <v>347</v>
      </c>
      <c r="F357" s="535" t="s">
        <v>26</v>
      </c>
      <c r="G357" s="318">
        <v>20.877099999999999</v>
      </c>
      <c r="H357" s="318">
        <v>23.813700000000001</v>
      </c>
      <c r="I357" s="323">
        <v>21.825399999999998</v>
      </c>
      <c r="J357" s="319">
        <v>24.154299999999999</v>
      </c>
      <c r="K357" s="337">
        <v>24.428000000000001</v>
      </c>
      <c r="L357" s="338">
        <v>23.411000000000001</v>
      </c>
      <c r="M357" s="320">
        <v>-2147.4839999999999</v>
      </c>
      <c r="N357" s="320">
        <v>-65.003</v>
      </c>
      <c r="O357" s="320">
        <v>-60.015000000000001</v>
      </c>
      <c r="P357" s="320">
        <v>-1E-4</v>
      </c>
      <c r="Q357" s="321">
        <v>0</v>
      </c>
      <c r="R357" s="315" t="s">
        <v>345</v>
      </c>
      <c r="U357" s="686" t="s">
        <v>348</v>
      </c>
      <c r="X357" s="322">
        <v>809.54600000000005</v>
      </c>
      <c r="Y357" s="322">
        <v>599.68200000000002</v>
      </c>
    </row>
    <row r="358" spans="1:26" ht="15.75">
      <c r="A358" s="316">
        <v>45093</v>
      </c>
      <c r="B358" s="317">
        <v>0.83333333333333337</v>
      </c>
      <c r="C358" s="317" t="s">
        <v>38</v>
      </c>
      <c r="D358" s="317" t="s">
        <v>347</v>
      </c>
      <c r="F358" s="535" t="s">
        <v>25</v>
      </c>
      <c r="G358" s="318">
        <v>20.877099999999999</v>
      </c>
      <c r="H358" s="318">
        <v>23.813700000000001</v>
      </c>
      <c r="I358" s="323">
        <v>21.825399999999998</v>
      </c>
      <c r="J358" s="319">
        <v>24.154299999999999</v>
      </c>
      <c r="K358" s="337">
        <v>24.428000000000001</v>
      </c>
      <c r="L358" s="338">
        <v>23.411000000000001</v>
      </c>
      <c r="M358" s="320">
        <v>-2147.4839999999999</v>
      </c>
      <c r="N358" s="320">
        <v>-65.003</v>
      </c>
      <c r="O358" s="320">
        <v>-60.015000000000001</v>
      </c>
      <c r="P358" s="320">
        <v>-1E-4</v>
      </c>
      <c r="Q358" s="321">
        <v>0</v>
      </c>
      <c r="R358" s="315" t="s">
        <v>55</v>
      </c>
      <c r="S358" s="315">
        <v>13</v>
      </c>
      <c r="T358" s="339">
        <v>4.0239950000000002</v>
      </c>
      <c r="U358" s="686" t="s">
        <v>349</v>
      </c>
      <c r="V358" s="315">
        <v>-3.5000000000000001E-3</v>
      </c>
      <c r="W358" s="315">
        <v>3.5000000000000001E-3</v>
      </c>
      <c r="Z358" s="333" t="s">
        <v>350</v>
      </c>
    </row>
    <row r="359" spans="1:26" ht="15.75">
      <c r="A359" s="316">
        <v>45093</v>
      </c>
      <c r="B359" s="317">
        <v>0.85277777777777775</v>
      </c>
      <c r="C359" s="317" t="s">
        <v>38</v>
      </c>
      <c r="D359" s="317" t="s">
        <v>347</v>
      </c>
      <c r="E359" s="317" t="s">
        <v>24</v>
      </c>
      <c r="F359" s="535" t="s">
        <v>31</v>
      </c>
      <c r="G359" s="318">
        <v>20.877099999999999</v>
      </c>
      <c r="H359" s="318">
        <v>23.813700000000001</v>
      </c>
      <c r="I359" s="323">
        <v>21.825399999999998</v>
      </c>
      <c r="J359" s="319">
        <v>24.154299999999999</v>
      </c>
      <c r="K359" s="337">
        <v>24.428000000000001</v>
      </c>
      <c r="L359" s="338">
        <v>23.411000000000001</v>
      </c>
      <c r="M359" s="320">
        <v>101.521</v>
      </c>
      <c r="N359" s="320">
        <v>125.742</v>
      </c>
      <c r="O359" s="320">
        <v>1E-3</v>
      </c>
      <c r="P359" s="320">
        <v>0.10754</v>
      </c>
      <c r="Q359" s="321">
        <v>8.8200000000000001E-2</v>
      </c>
      <c r="R359" s="315" t="s">
        <v>55</v>
      </c>
      <c r="S359" s="315">
        <v>23</v>
      </c>
      <c r="T359" s="339">
        <v>3.4744489999999999</v>
      </c>
      <c r="U359" s="510" t="s">
        <v>351</v>
      </c>
      <c r="V359" s="315">
        <v>-3.2000000000000002E-3</v>
      </c>
      <c r="W359" s="315">
        <v>3.5000000000000001E-3</v>
      </c>
      <c r="Z359" s="333" t="s">
        <v>339</v>
      </c>
    </row>
    <row r="360" spans="1:26" ht="15.75">
      <c r="A360" s="316">
        <v>45093</v>
      </c>
      <c r="B360" s="317">
        <v>0.86249999999999993</v>
      </c>
      <c r="C360" s="317" t="s">
        <v>38</v>
      </c>
      <c r="D360" s="317" t="s">
        <v>347</v>
      </c>
      <c r="E360" s="317" t="s">
        <v>24</v>
      </c>
      <c r="F360" s="535" t="s">
        <v>32</v>
      </c>
      <c r="G360" s="318">
        <v>20.877099999999999</v>
      </c>
      <c r="H360" s="318">
        <v>23.813700000000001</v>
      </c>
      <c r="I360" s="323">
        <v>21.825399999999998</v>
      </c>
      <c r="J360" s="319">
        <v>24.154299999999999</v>
      </c>
      <c r="K360" s="337">
        <v>24.428000000000001</v>
      </c>
      <c r="L360" s="338">
        <v>23.411000000000001</v>
      </c>
      <c r="M360" s="320">
        <v>88.728999999999999</v>
      </c>
      <c r="N360" s="320">
        <v>108.209</v>
      </c>
      <c r="O360" s="320">
        <v>-3.0000000000000001E-3</v>
      </c>
      <c r="P360" s="320">
        <v>0.10780000000000001</v>
      </c>
      <c r="Q360" s="321">
        <v>8.8400000000000006E-2</v>
      </c>
      <c r="R360" s="514">
        <v>1128</v>
      </c>
      <c r="U360" s="510" t="s">
        <v>352</v>
      </c>
      <c r="X360" s="322">
        <v>809.76599999999996</v>
      </c>
      <c r="Y360" s="322">
        <v>599.70000000000005</v>
      </c>
    </row>
    <row r="361" spans="1:26" ht="15.75">
      <c r="A361" s="316">
        <v>45093</v>
      </c>
      <c r="B361" s="317">
        <v>0.88680555555555562</v>
      </c>
      <c r="C361" s="317" t="s">
        <v>38</v>
      </c>
      <c r="D361" s="317" t="s">
        <v>347</v>
      </c>
      <c r="F361" s="535" t="s">
        <v>25</v>
      </c>
      <c r="G361" s="318">
        <v>20.877099999999999</v>
      </c>
      <c r="H361" s="318">
        <v>23.813700000000001</v>
      </c>
      <c r="I361" s="323">
        <v>21.825399999999998</v>
      </c>
      <c r="J361" s="319">
        <v>24.154299999999999</v>
      </c>
      <c r="K361" s="337">
        <v>24.428000000000001</v>
      </c>
      <c r="L361" s="338">
        <v>23.411000000000001</v>
      </c>
      <c r="M361" s="320">
        <v>-2147.4839999999999</v>
      </c>
      <c r="N361" s="320">
        <v>-65.003</v>
      </c>
      <c r="O361" s="320">
        <v>-60.015000000000001</v>
      </c>
      <c r="P361" s="320">
        <v>-1E-4</v>
      </c>
      <c r="Q361" s="321">
        <v>0</v>
      </c>
      <c r="R361" s="315" t="s">
        <v>68</v>
      </c>
      <c r="S361" s="315">
        <v>20</v>
      </c>
      <c r="T361" s="339">
        <v>4.0240010000000002</v>
      </c>
      <c r="U361" s="510" t="s">
        <v>353</v>
      </c>
      <c r="V361" s="315">
        <v>-3.5000000000000001E-3</v>
      </c>
      <c r="W361" s="315">
        <v>2.5000000000000001E-3</v>
      </c>
      <c r="Z361" s="333" t="s">
        <v>354</v>
      </c>
    </row>
    <row r="362" spans="1:26" s="582" customFormat="1" ht="15.75">
      <c r="A362" s="704">
        <v>45093</v>
      </c>
      <c r="B362" s="573">
        <v>0.88888888888888884</v>
      </c>
      <c r="C362" s="573" t="s">
        <v>38</v>
      </c>
      <c r="D362" s="573" t="s">
        <v>347</v>
      </c>
      <c r="E362" s="573"/>
      <c r="F362" s="705" t="s">
        <v>26</v>
      </c>
      <c r="G362" s="706">
        <v>20.877099999999999</v>
      </c>
      <c r="H362" s="706">
        <v>23.813700000000001</v>
      </c>
      <c r="I362" s="707">
        <v>21.825399999999998</v>
      </c>
      <c r="J362" s="708">
        <v>24.154299999999999</v>
      </c>
      <c r="K362" s="709">
        <v>24.428000000000001</v>
      </c>
      <c r="L362" s="710">
        <v>23.411000000000001</v>
      </c>
      <c r="M362" s="711">
        <v>-2147.4839999999999</v>
      </c>
      <c r="N362" s="711">
        <v>-65.003</v>
      </c>
      <c r="O362" s="711">
        <v>-60.015000000000001</v>
      </c>
      <c r="P362" s="711">
        <v>-1E-4</v>
      </c>
      <c r="Q362" s="712">
        <v>0</v>
      </c>
      <c r="R362" s="582" t="s">
        <v>355</v>
      </c>
      <c r="T362" s="713"/>
      <c r="U362" s="584" t="s">
        <v>356</v>
      </c>
      <c r="X362" s="585">
        <v>808.70799999999997</v>
      </c>
      <c r="Y362" s="585">
        <v>599.63900000000001</v>
      </c>
      <c r="Z362" s="586"/>
    </row>
    <row r="363" spans="1:26" ht="15.75">
      <c r="A363" s="316">
        <v>45093</v>
      </c>
      <c r="B363" s="317" t="s">
        <v>303</v>
      </c>
      <c r="C363" s="317" t="s">
        <v>304</v>
      </c>
      <c r="D363" s="317" t="s">
        <v>347</v>
      </c>
      <c r="E363" s="317" t="s">
        <v>24</v>
      </c>
      <c r="F363" s="542" t="s">
        <v>25</v>
      </c>
      <c r="R363" s="315" t="s">
        <v>303</v>
      </c>
      <c r="S363" s="315" t="s">
        <v>303</v>
      </c>
      <c r="T363" s="339">
        <f>AVERAGE(T361,T358)</f>
        <v>4.0239980000000006</v>
      </c>
      <c r="U363" s="510" t="s">
        <v>303</v>
      </c>
      <c r="V363" s="315">
        <f>AVERAGE(V361,V358)</f>
        <v>-3.5000000000000001E-3</v>
      </c>
      <c r="W363" s="315">
        <f>AVERAGE(W361,W358)</f>
        <v>3.0000000000000001E-3</v>
      </c>
      <c r="Z363" s="333" t="s">
        <v>305</v>
      </c>
    </row>
    <row r="364" spans="1:26" s="523" customFormat="1" ht="15.75">
      <c r="A364" s="615">
        <v>45093</v>
      </c>
      <c r="B364" s="520" t="s">
        <v>303</v>
      </c>
      <c r="C364" s="520" t="s">
        <v>304</v>
      </c>
      <c r="D364" s="520" t="s">
        <v>347</v>
      </c>
      <c r="E364" s="520" t="s">
        <v>24</v>
      </c>
      <c r="F364" s="678" t="s">
        <v>26</v>
      </c>
      <c r="G364" s="667"/>
      <c r="H364" s="667"/>
      <c r="I364" s="529"/>
      <c r="J364" s="530"/>
      <c r="K364" s="668"/>
      <c r="L364" s="669"/>
      <c r="M364" s="521"/>
      <c r="N364" s="521"/>
      <c r="O364" s="521"/>
      <c r="P364" s="521"/>
      <c r="Q364" s="522"/>
      <c r="R364" s="523" t="s">
        <v>303</v>
      </c>
      <c r="T364" s="524"/>
      <c r="U364" s="525"/>
      <c r="X364" s="526">
        <f>AVERAGE(X362,X357)</f>
        <v>809.12699999999995</v>
      </c>
      <c r="Y364" s="526">
        <f>AVERAGE(Y362,Y357)</f>
        <v>599.66049999999996</v>
      </c>
      <c r="Z364" s="527" t="s">
        <v>305</v>
      </c>
    </row>
    <row r="365" spans="1:26" ht="15.75">
      <c r="D365" s="317"/>
    </row>
    <row r="366" spans="1:26" ht="15.75">
      <c r="D366" s="317"/>
    </row>
    <row r="367" spans="1:26" ht="15.75">
      <c r="D367" s="317"/>
    </row>
    <row r="368" spans="1:26" ht="15.75">
      <c r="D368" s="317"/>
    </row>
    <row r="369" spans="4:4" ht="15.75">
      <c r="D369" s="317"/>
    </row>
    <row r="370" spans="4:4" ht="15.75">
      <c r="D370" s="317"/>
    </row>
    <row r="371" spans="4:4" ht="15.75">
      <c r="D371" s="317"/>
    </row>
    <row r="372" spans="4:4" ht="15.75">
      <c r="D372" s="317"/>
    </row>
    <row r="373" spans="4:4" ht="15.75">
      <c r="D373" s="317"/>
    </row>
    <row r="374" spans="4:4" ht="15.75">
      <c r="D374" s="317"/>
    </row>
  </sheetData>
  <mergeCells count="3">
    <mergeCell ref="G1:H1"/>
    <mergeCell ref="I1:J1"/>
    <mergeCell ref="K1:L1"/>
  </mergeCells>
  <phoneticPr fontId="1" type="noConversion"/>
  <conditionalFormatting sqref="B1:B328 B330:B1048576">
    <cfRule type="expression" dxfId="19" priority="28">
      <formula>AND($B1="",ISNUMBER(FIND("retro",$F1)))</formula>
    </cfRule>
  </conditionalFormatting>
  <conditionalFormatting sqref="G2:L327 G364:L3007 G330:L362">
    <cfRule type="expression" dxfId="18" priority="14" stopIfTrue="1">
      <formula>AND(G2&lt;&gt;G1,G2&lt;&gt;"")</formula>
    </cfRule>
  </conditionalFormatting>
  <conditionalFormatting sqref="R1:W1048576">
    <cfRule type="expression" dxfId="17" priority="5">
      <formula>ISNUMBER(FIND("mirror",$F1))</formula>
    </cfRule>
  </conditionalFormatting>
  <conditionalFormatting sqref="R1:R1048576 X1:Y1048576">
    <cfRule type="expression" dxfId="16" priority="55">
      <formula>ISNUMBER(FIND("LED",$F1))</formula>
    </cfRule>
  </conditionalFormatting>
  <conditionalFormatting sqref="T327:W327 S1:T1048576">
    <cfRule type="expression" dxfId="15" priority="6">
      <formula>ISNUMBER(FIND("retro",$F1))</formula>
    </cfRule>
  </conditionalFormatting>
  <conditionalFormatting sqref="V349:W349">
    <cfRule type="expression" dxfId="14" priority="3">
      <formula>ISNUMBER(FIND("retro",$F349))</formula>
    </cfRule>
  </conditionalFormatting>
  <conditionalFormatting sqref="W349">
    <cfRule type="expression" dxfId="13" priority="2">
      <formula>ISNUMBER(FIND("retro",$F349))</formula>
    </cfRule>
  </conditionalFormatting>
  <conditionalFormatting sqref="G329:L329">
    <cfRule type="expression" dxfId="12" priority="58" stopIfTrue="1">
      <formula>AND(G329&lt;&gt;G326,G329&lt;&gt;"")</formula>
    </cfRule>
  </conditionalFormatting>
  <conditionalFormatting sqref="G328:L328">
    <cfRule type="expression" dxfId="11" priority="61" stopIfTrue="1">
      <formula>AND(G328&lt;&gt;G326,G328&lt;&gt;"")</formula>
    </cfRule>
  </conditionalFormatting>
  <conditionalFormatting sqref="G363:L363">
    <cfRule type="expression" dxfId="10" priority="66" stopIfTrue="1">
      <formula>AND(G363&lt;&gt;#REF!,G363&lt;&gt;"")</formula>
    </cfRule>
  </conditionalFormatting>
  <dataValidations count="1">
    <dataValidation type="list" allowBlank="1" showInputMessage="1" showErrorMessage="1" errorTitle="Invalid target" error="Select target from pulldown list (to right of cell)" prompt="Select target" sqref="F1:F328 F330:F1048576" xr:uid="{956AD646-223A-4529-A60A-AFD2D27944E5}">
      <formula1>"CHIPS retro,sMATF mirror,sMATF LED pri,sMATF LED red,sMATF retro,PATB mirror,PATB LED pri,PATB LED red,PATB retro pri,PATB retro red,PATA mirror,PATA LED pri,PATA LED red,PATA retro pri,PATA retro red, Aperture mirror"</formula1>
    </dataValidation>
  </dataValidations>
  <pageMargins left="0" right="0" top="0.75" bottom="0.75" header="0.3" footer="0.3"/>
  <pageSetup orientation="landscape" r:id="rId1"/>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A5B98D-6BDD-427D-8BC4-DD78D2F78E07}">
  <dimension ref="A1:C15"/>
  <sheetViews>
    <sheetView workbookViewId="0">
      <selection activeCell="F14" sqref="F14"/>
    </sheetView>
  </sheetViews>
  <sheetFormatPr defaultRowHeight="14.45"/>
  <cols>
    <col min="2" max="2" width="21.85546875" bestFit="1" customWidth="1"/>
  </cols>
  <sheetData>
    <row r="1" spans="1:3">
      <c r="A1" t="s">
        <v>993</v>
      </c>
    </row>
    <row r="2" spans="1:3">
      <c r="A2" t="s">
        <v>994</v>
      </c>
      <c r="B2" t="s">
        <v>995</v>
      </c>
    </row>
    <row r="3" spans="1:3">
      <c r="A3" t="s">
        <v>996</v>
      </c>
      <c r="B3" t="s">
        <v>997</v>
      </c>
    </row>
    <row r="4" spans="1:3">
      <c r="A4" t="s">
        <v>998</v>
      </c>
      <c r="B4" t="s">
        <v>999</v>
      </c>
    </row>
    <row r="5" spans="1:3">
      <c r="A5" t="s">
        <v>1000</v>
      </c>
      <c r="B5" t="s">
        <v>1001</v>
      </c>
    </row>
    <row r="6" spans="1:3">
      <c r="A6" t="s">
        <v>1002</v>
      </c>
      <c r="B6" t="s">
        <v>1003</v>
      </c>
    </row>
    <row r="7" spans="1:3">
      <c r="A7" t="s">
        <v>1004</v>
      </c>
      <c r="B7" t="s">
        <v>1005</v>
      </c>
    </row>
    <row r="8" spans="1:3">
      <c r="A8" t="s">
        <v>1006</v>
      </c>
      <c r="B8" t="s">
        <v>1007</v>
      </c>
    </row>
    <row r="9" spans="1:3">
      <c r="A9" t="s">
        <v>1008</v>
      </c>
      <c r="B9" t="s">
        <v>1009</v>
      </c>
    </row>
    <row r="10" spans="1:3">
      <c r="A10" t="s">
        <v>1010</v>
      </c>
      <c r="B10" t="s">
        <v>1011</v>
      </c>
    </row>
    <row r="11" spans="1:3">
      <c r="A11" t="s">
        <v>1012</v>
      </c>
      <c r="B11" t="s">
        <v>1013</v>
      </c>
    </row>
    <row r="12" spans="1:3">
      <c r="A12" t="s">
        <v>1014</v>
      </c>
      <c r="B12" t="s">
        <v>1015</v>
      </c>
    </row>
    <row r="14" spans="1:3">
      <c r="A14" t="s">
        <v>1016</v>
      </c>
      <c r="B14" t="s">
        <v>1017</v>
      </c>
    </row>
    <row r="15" spans="1:3">
      <c r="A15" t="s">
        <v>1018</v>
      </c>
      <c r="C15" t="s">
        <v>1019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8A268A-FD43-4479-AC88-035F6D62AA6B}">
  <sheetPr>
    <tabColor rgb="FFE2EFDA"/>
  </sheetPr>
  <dimension ref="A1:O111"/>
  <sheetViews>
    <sheetView workbookViewId="0">
      <pane ySplit="5" topLeftCell="A105" activePane="bottomLeft" state="frozen"/>
      <selection pane="bottomLeft" activeCell="F106" sqref="F106"/>
    </sheetView>
  </sheetViews>
  <sheetFormatPr defaultColWidth="8.7109375" defaultRowHeight="14.45"/>
  <cols>
    <col min="1" max="1" width="10.42578125" style="164" bestFit="1" customWidth="1"/>
    <col min="2" max="8" width="8.7109375" style="164"/>
    <col min="9" max="9" width="9.140625" style="164" bestFit="1" customWidth="1"/>
    <col min="14" max="14" width="81.7109375" customWidth="1"/>
  </cols>
  <sheetData>
    <row r="1" spans="1:14" s="11" customFormat="1" ht="110.25" customHeight="1">
      <c r="A1" s="559" t="s">
        <v>0</v>
      </c>
      <c r="B1" s="718" t="s">
        <v>357</v>
      </c>
      <c r="C1" s="718"/>
      <c r="D1" s="718" t="s">
        <v>358</v>
      </c>
      <c r="E1" s="718"/>
      <c r="F1" s="687" t="s">
        <v>18</v>
      </c>
      <c r="G1" s="687" t="s">
        <v>19</v>
      </c>
      <c r="H1" s="687" t="s">
        <v>359</v>
      </c>
      <c r="I1" s="687" t="s">
        <v>360</v>
      </c>
      <c r="J1" s="560"/>
      <c r="K1" s="560"/>
      <c r="L1" s="719" t="s">
        <v>361</v>
      </c>
      <c r="M1" s="720"/>
      <c r="N1" s="141" t="s">
        <v>362</v>
      </c>
    </row>
    <row r="2" spans="1:14" ht="18">
      <c r="A2" s="255" t="s">
        <v>363</v>
      </c>
      <c r="B2" s="721" t="s">
        <v>364</v>
      </c>
      <c r="C2" s="721"/>
      <c r="D2" s="721"/>
      <c r="E2" s="721"/>
      <c r="F2" s="688">
        <v>0</v>
      </c>
      <c r="G2" s="688">
        <v>0</v>
      </c>
      <c r="H2" s="688">
        <v>808</v>
      </c>
      <c r="I2" s="688">
        <v>602</v>
      </c>
      <c r="J2" s="501"/>
      <c r="K2" s="501"/>
      <c r="L2" s="104" t="s">
        <v>365</v>
      </c>
      <c r="M2" s="105" t="s">
        <v>366</v>
      </c>
      <c r="N2" s="106" t="s">
        <v>367</v>
      </c>
    </row>
    <row r="3" spans="1:14" ht="18.600000000000001" thickBot="1">
      <c r="A3" s="280">
        <v>44976</v>
      </c>
      <c r="B3" s="281">
        <v>20.520499999999998</v>
      </c>
      <c r="C3" s="281">
        <v>23.803999999999998</v>
      </c>
      <c r="D3" s="282">
        <v>21.816299999999998</v>
      </c>
      <c r="E3" s="282">
        <v>23.921099999999999</v>
      </c>
      <c r="F3" s="281">
        <v>7.6E-3</v>
      </c>
      <c r="G3" s="281">
        <v>-6.8999999999999999E-3</v>
      </c>
      <c r="H3" s="281">
        <v>808.4</v>
      </c>
      <c r="I3" s="281">
        <v>602.6</v>
      </c>
      <c r="J3" s="35" t="s">
        <v>363</v>
      </c>
      <c r="K3" s="35">
        <v>1</v>
      </c>
      <c r="L3" s="498">
        <f>L5*$K$3</f>
        <v>10.6</v>
      </c>
      <c r="M3" s="498">
        <f>M5*$K$3</f>
        <v>-17.899999999999999</v>
      </c>
      <c r="N3" s="558" t="s">
        <v>368</v>
      </c>
    </row>
    <row r="4" spans="1:14" ht="18">
      <c r="A4" s="283"/>
      <c r="B4" s="284"/>
      <c r="C4" s="284"/>
      <c r="D4" s="285">
        <f>($G$2-G3)*$M$3+D3</f>
        <v>21.692789999999999</v>
      </c>
      <c r="E4" s="285">
        <f>($F$2-F3)*$L$3+E3</f>
        <v>23.840540000000001</v>
      </c>
      <c r="F4" s="284"/>
      <c r="G4" s="284"/>
      <c r="H4" s="284"/>
      <c r="I4" s="284"/>
      <c r="J4" s="35"/>
      <c r="K4" s="497" t="s">
        <v>369</v>
      </c>
      <c r="L4" s="35"/>
      <c r="M4" s="35" t="s">
        <v>363</v>
      </c>
      <c r="N4" s="106" t="s">
        <v>370</v>
      </c>
    </row>
    <row r="5" spans="1:14" ht="43.15">
      <c r="A5" s="286">
        <v>44981</v>
      </c>
      <c r="B5" s="281">
        <v>20.4755</v>
      </c>
      <c r="C5" s="281">
        <v>23.805</v>
      </c>
      <c r="D5" s="285">
        <v>21.692799999999998</v>
      </c>
      <c r="E5" s="285">
        <v>23.840499999999999</v>
      </c>
      <c r="F5" s="281">
        <v>-8.1299999999999997E-2</v>
      </c>
      <c r="G5" s="281">
        <v>-4.9200000000000001E-2</v>
      </c>
      <c r="H5" s="281">
        <v>807.9</v>
      </c>
      <c r="I5" s="281">
        <v>601.79999999999995</v>
      </c>
      <c r="J5" s="35" t="s">
        <v>363</v>
      </c>
      <c r="K5" s="35" t="s">
        <v>363</v>
      </c>
      <c r="L5" s="498">
        <v>10.6</v>
      </c>
      <c r="M5" s="499">
        <v>-17.899999999999999</v>
      </c>
      <c r="N5" s="500" t="s">
        <v>371</v>
      </c>
    </row>
    <row r="6" spans="1:14">
      <c r="A6" s="284" t="s">
        <v>363</v>
      </c>
      <c r="B6" s="284" t="s">
        <v>363</v>
      </c>
      <c r="C6" s="284" t="s">
        <v>363</v>
      </c>
      <c r="D6" s="285">
        <f>($G$2-G5)*$M$3+D5</f>
        <v>20.81212</v>
      </c>
      <c r="E6" s="285">
        <f>($F$2-F5)*$L$3+E5</f>
        <v>24.702279999999998</v>
      </c>
      <c r="F6" s="284" t="s">
        <v>363</v>
      </c>
      <c r="G6" s="284" t="s">
        <v>363</v>
      </c>
      <c r="H6" s="284" t="s">
        <v>363</v>
      </c>
      <c r="I6" s="284" t="s">
        <v>363</v>
      </c>
      <c r="J6" s="35" t="s">
        <v>363</v>
      </c>
      <c r="K6" s="35" t="s">
        <v>363</v>
      </c>
      <c r="L6" s="35" t="s">
        <v>363</v>
      </c>
      <c r="M6" s="35" t="s">
        <v>363</v>
      </c>
      <c r="N6" s="35" t="s">
        <v>363</v>
      </c>
    </row>
    <row r="7" spans="1:14">
      <c r="A7" s="286">
        <v>44981</v>
      </c>
      <c r="B7" s="281">
        <v>20.937000000000001</v>
      </c>
      <c r="C7" s="281">
        <v>23.489000000000001</v>
      </c>
      <c r="D7" s="285">
        <v>21.254919999999998</v>
      </c>
      <c r="E7" s="285">
        <v>24.27139</v>
      </c>
      <c r="F7" s="281">
        <v>-3.7900000000000003E-2</v>
      </c>
      <c r="G7" s="281">
        <v>-2.35E-2</v>
      </c>
      <c r="H7" s="281">
        <v>807</v>
      </c>
      <c r="I7" s="281">
        <v>602.6</v>
      </c>
      <c r="J7" s="35" t="s">
        <v>363</v>
      </c>
      <c r="K7" s="35" t="s">
        <v>363</v>
      </c>
      <c r="L7" s="35" t="s">
        <v>363</v>
      </c>
      <c r="M7" s="35" t="s">
        <v>363</v>
      </c>
      <c r="N7" s="35" t="s">
        <v>363</v>
      </c>
    </row>
    <row r="8" spans="1:14">
      <c r="A8" s="286">
        <v>44981</v>
      </c>
      <c r="B8" s="281">
        <v>21.367000000000001</v>
      </c>
      <c r="C8" s="281">
        <v>23.196999999999999</v>
      </c>
      <c r="D8" s="285">
        <f>($G$2-G7)*$M$3+D7</f>
        <v>20.83427</v>
      </c>
      <c r="E8" s="285">
        <f>($F$2-F7)*$L$3+E7</f>
        <v>24.67313</v>
      </c>
      <c r="F8" s="281">
        <v>-1.5E-3</v>
      </c>
      <c r="G8" s="281">
        <v>5.3E-3</v>
      </c>
      <c r="H8" s="281">
        <v>807.7</v>
      </c>
      <c r="I8" s="281">
        <v>601.79999999999995</v>
      </c>
      <c r="J8" s="35"/>
      <c r="K8" s="35"/>
      <c r="L8" s="35"/>
      <c r="M8" s="35"/>
      <c r="N8" s="35"/>
    </row>
    <row r="9" spans="1:14">
      <c r="A9" s="287">
        <v>44982</v>
      </c>
      <c r="B9" s="281">
        <v>21.367000000000001</v>
      </c>
      <c r="C9" s="281">
        <v>23.196999999999999</v>
      </c>
      <c r="D9" s="285">
        <v>20.834299999999999</v>
      </c>
      <c r="E9" s="285">
        <v>24.673100000000002</v>
      </c>
      <c r="F9" s="202">
        <v>-1.5E-3</v>
      </c>
      <c r="G9" s="202">
        <v>8.3999999999999995E-3</v>
      </c>
      <c r="H9" s="255">
        <v>809.5</v>
      </c>
      <c r="I9" s="255">
        <v>602.6</v>
      </c>
      <c r="J9" s="35"/>
      <c r="K9" s="35"/>
      <c r="L9" s="35"/>
      <c r="M9" s="35"/>
      <c r="N9" s="35"/>
    </row>
    <row r="10" spans="1:14" ht="15" thickBot="1">
      <c r="A10" s="287">
        <v>44982</v>
      </c>
      <c r="B10" s="255">
        <v>21.39</v>
      </c>
      <c r="C10" s="255">
        <v>23.300999999999998</v>
      </c>
      <c r="D10" s="285">
        <f>($G$2-G9)*$M$3+D9</f>
        <v>20.984659999999998</v>
      </c>
      <c r="E10" s="285">
        <f>($F$2-F9)*$L$3+E9</f>
        <v>24.689</v>
      </c>
      <c r="F10" s="255">
        <v>4.1000000000000003E-3</v>
      </c>
      <c r="G10" s="255">
        <v>-8.6E-3</v>
      </c>
      <c r="H10" s="255">
        <v>806.6</v>
      </c>
      <c r="I10" s="255">
        <v>602.6</v>
      </c>
      <c r="J10" s="35"/>
      <c r="K10" s="35"/>
      <c r="L10" s="130">
        <v>10.6</v>
      </c>
      <c r="M10" s="113">
        <v>-17.899999999999999</v>
      </c>
      <c r="N10" s="35"/>
    </row>
    <row r="11" spans="1:14">
      <c r="A11" s="287">
        <v>44982</v>
      </c>
      <c r="B11" s="255">
        <v>21.3475</v>
      </c>
      <c r="C11" s="255">
        <v>23.201000000000001</v>
      </c>
      <c r="D11" s="285">
        <f>($G$2-G10)*$M$3+D10</f>
        <v>20.830719999999999</v>
      </c>
      <c r="E11" s="285">
        <f>($F$2-F10)*$L$3+E10</f>
        <v>24.64554</v>
      </c>
      <c r="F11" s="255">
        <v>-5.3E-3</v>
      </c>
      <c r="G11" s="255">
        <v>6.7000000000000002E-3</v>
      </c>
      <c r="H11" s="255">
        <v>808.5</v>
      </c>
      <c r="I11" s="255">
        <v>601.70000000000005</v>
      </c>
      <c r="J11" s="35"/>
      <c r="K11" s="35"/>
      <c r="L11" s="35"/>
      <c r="M11" s="35"/>
      <c r="N11" s="35"/>
    </row>
    <row r="12" spans="1:14">
      <c r="A12" s="287">
        <v>44982</v>
      </c>
      <c r="B12" s="255">
        <v>21.391500000000001</v>
      </c>
      <c r="C12" s="255">
        <v>23.238499999999998</v>
      </c>
      <c r="D12" s="285">
        <v>20.886299999999999</v>
      </c>
      <c r="E12" s="285">
        <v>24.686599999999999</v>
      </c>
      <c r="F12" s="255">
        <v>-2.8E-3</v>
      </c>
      <c r="G12" s="255">
        <v>3.2000000000000002E-3</v>
      </c>
      <c r="H12" s="255">
        <v>807.5</v>
      </c>
      <c r="I12" s="255">
        <v>601.6</v>
      </c>
      <c r="J12" s="35"/>
      <c r="K12" s="35"/>
      <c r="L12" s="35"/>
      <c r="M12" s="35"/>
      <c r="N12" s="35"/>
    </row>
    <row r="13" spans="1:14">
      <c r="A13" s="287">
        <v>44982</v>
      </c>
      <c r="B13" s="255" t="s">
        <v>363</v>
      </c>
      <c r="C13" s="255" t="s">
        <v>363</v>
      </c>
      <c r="D13" s="285">
        <f>($G$2-G12)*$M$3+D12</f>
        <v>20.943579999999997</v>
      </c>
      <c r="E13" s="285">
        <f>($F$2-F12)*$L$3+E12</f>
        <v>24.716279999999998</v>
      </c>
      <c r="F13" s="255" t="s">
        <v>363</v>
      </c>
      <c r="G13" s="255" t="s">
        <v>363</v>
      </c>
      <c r="H13" s="255" t="s">
        <v>363</v>
      </c>
      <c r="I13" s="255" t="s">
        <v>363</v>
      </c>
      <c r="J13" s="35"/>
      <c r="K13" s="35"/>
      <c r="L13" s="35"/>
      <c r="M13" s="35"/>
      <c r="N13" s="35"/>
    </row>
    <row r="14" spans="1:14">
      <c r="A14" s="255" t="s">
        <v>363</v>
      </c>
      <c r="B14" s="255" t="s">
        <v>363</v>
      </c>
      <c r="C14" s="255" t="s">
        <v>363</v>
      </c>
      <c r="D14" s="285"/>
      <c r="E14" s="285"/>
      <c r="F14" s="255" t="s">
        <v>363</v>
      </c>
      <c r="G14" s="255" t="s">
        <v>363</v>
      </c>
      <c r="H14" s="255" t="s">
        <v>363</v>
      </c>
      <c r="I14" s="255" t="s">
        <v>363</v>
      </c>
      <c r="J14" s="35"/>
      <c r="K14" s="35"/>
      <c r="L14" s="35"/>
      <c r="M14" s="35"/>
      <c r="N14" s="35"/>
    </row>
    <row r="15" spans="1:14">
      <c r="A15" s="287">
        <v>44984</v>
      </c>
      <c r="B15" s="255">
        <v>21.391500000000001</v>
      </c>
      <c r="C15" s="255">
        <v>23.238499999999998</v>
      </c>
      <c r="D15" s="285">
        <v>20.886299999999999</v>
      </c>
      <c r="E15" s="285">
        <v>24.686599999999999</v>
      </c>
      <c r="F15" s="255">
        <v>-2.7799999999999998E-2</v>
      </c>
      <c r="G15" s="255">
        <v>2.4400000000000002E-2</v>
      </c>
      <c r="H15" s="255">
        <v>825.9</v>
      </c>
      <c r="I15" s="255">
        <v>579.6</v>
      </c>
      <c r="J15" s="35"/>
      <c r="K15" s="35"/>
      <c r="L15" s="35"/>
      <c r="M15" s="35"/>
      <c r="N15" s="35"/>
    </row>
    <row r="16" spans="1:14">
      <c r="A16" s="287">
        <v>44984</v>
      </c>
      <c r="B16" s="255">
        <v>21.537099999999999</v>
      </c>
      <c r="C16" s="255">
        <v>23.323</v>
      </c>
      <c r="D16" s="285">
        <f>($G$2-G15)*$M$3+D15</f>
        <v>21.323059999999998</v>
      </c>
      <c r="E16" s="285">
        <f>($F$2-F15)*$L$3+E15</f>
        <v>24.981279999999998</v>
      </c>
      <c r="F16" s="255">
        <v>1.17E-2</v>
      </c>
      <c r="G16" s="255">
        <v>-9.7000000000000003E-3</v>
      </c>
      <c r="H16" s="255">
        <v>807.7</v>
      </c>
      <c r="I16" s="255">
        <v>602.5</v>
      </c>
      <c r="J16" s="131">
        <v>20.886299999999999</v>
      </c>
      <c r="K16" s="131">
        <v>24.686600000000002</v>
      </c>
      <c r="L16" s="35"/>
      <c r="M16" s="35"/>
      <c r="N16" s="35"/>
    </row>
    <row r="17" spans="1:14">
      <c r="A17" s="287">
        <v>44984</v>
      </c>
      <c r="B17" s="255">
        <v>21.560099999999998</v>
      </c>
      <c r="C17" s="255">
        <v>23.402999999999999</v>
      </c>
      <c r="D17" s="285">
        <f>($G$2-G16)*$M$3+D16</f>
        <v>21.149429999999999</v>
      </c>
      <c r="E17" s="285">
        <f>($F$2-F16)*$L$3+E16</f>
        <v>24.857259999999997</v>
      </c>
      <c r="F17" s="255">
        <v>1.6899999999999998E-2</v>
      </c>
      <c r="G17" s="255">
        <v>-1.4500000000000001E-2</v>
      </c>
      <c r="H17" s="255">
        <v>808</v>
      </c>
      <c r="I17" s="255">
        <v>602.6</v>
      </c>
      <c r="J17" s="35"/>
      <c r="K17" s="35"/>
      <c r="L17" s="35"/>
      <c r="M17" s="35"/>
      <c r="N17" s="35"/>
    </row>
    <row r="18" spans="1:14">
      <c r="A18" s="287">
        <v>44984</v>
      </c>
      <c r="B18" s="255">
        <v>21.373100000000001</v>
      </c>
      <c r="C18" s="255">
        <v>23.2258</v>
      </c>
      <c r="D18" s="285">
        <f>($G$2-G17)*$M$3+D17</f>
        <v>20.889879999999998</v>
      </c>
      <c r="E18" s="285">
        <f>($F$2-F17)*$L$3+E17</f>
        <v>24.678119999999996</v>
      </c>
      <c r="F18" s="255">
        <v>-1.5E-3</v>
      </c>
      <c r="G18" s="255">
        <v>2.8E-3</v>
      </c>
      <c r="H18" s="255">
        <v>806.6</v>
      </c>
      <c r="I18" s="255">
        <v>603.79999999999995</v>
      </c>
      <c r="J18" s="35"/>
      <c r="K18" s="35"/>
      <c r="L18" s="35"/>
      <c r="M18" s="35"/>
      <c r="N18" s="35"/>
    </row>
    <row r="19" spans="1:14">
      <c r="A19" s="287">
        <v>44984</v>
      </c>
      <c r="B19" s="255" t="s">
        <v>363</v>
      </c>
      <c r="C19" s="255" t="s">
        <v>363</v>
      </c>
      <c r="D19" s="285">
        <f>($G$2-G18)*$M$3+D18</f>
        <v>20.939999999999998</v>
      </c>
      <c r="E19" s="285">
        <f>($F$2-F18)*$L$3+E18</f>
        <v>24.694019999999995</v>
      </c>
      <c r="F19" s="255" t="s">
        <v>363</v>
      </c>
      <c r="G19" s="255" t="s">
        <v>363</v>
      </c>
      <c r="H19" s="255">
        <v>807.8</v>
      </c>
      <c r="I19" s="255">
        <v>601.6</v>
      </c>
      <c r="J19" s="35"/>
      <c r="K19" s="35"/>
      <c r="L19" s="35"/>
      <c r="M19" s="35"/>
      <c r="N19" s="35"/>
    </row>
    <row r="20" spans="1:14">
      <c r="A20" s="287">
        <v>45000</v>
      </c>
      <c r="B20" s="255" t="s">
        <v>363</v>
      </c>
      <c r="C20" s="255" t="s">
        <v>363</v>
      </c>
      <c r="D20" s="285">
        <v>20.886299999999999</v>
      </c>
      <c r="E20" s="285">
        <v>24.686599999999999</v>
      </c>
      <c r="F20" s="255">
        <v>8.3299999999999999E-2</v>
      </c>
      <c r="G20" s="255">
        <v>5.0799999999999998E-2</v>
      </c>
      <c r="H20" s="255">
        <v>807.6</v>
      </c>
      <c r="I20" s="255">
        <v>602.6</v>
      </c>
      <c r="J20" s="35"/>
      <c r="K20" s="35"/>
      <c r="L20" s="35"/>
      <c r="M20" s="35"/>
      <c r="N20" s="35"/>
    </row>
    <row r="21" spans="1:14">
      <c r="A21" s="287">
        <v>45000</v>
      </c>
      <c r="B21" s="255" t="s">
        <v>363</v>
      </c>
      <c r="C21" s="255" t="s">
        <v>363</v>
      </c>
      <c r="D21" s="285">
        <v>21.3384</v>
      </c>
      <c r="E21" s="285">
        <v>24.245100000000001</v>
      </c>
      <c r="F21" s="255">
        <v>3.9899999999999998E-2</v>
      </c>
      <c r="G21" s="255">
        <v>2.47E-2</v>
      </c>
      <c r="H21" s="255">
        <v>807.5</v>
      </c>
      <c r="I21" s="255">
        <v>601.5</v>
      </c>
      <c r="J21" s="35"/>
      <c r="K21" s="35"/>
      <c r="L21" s="35"/>
      <c r="M21" s="35"/>
      <c r="N21" s="35"/>
    </row>
    <row r="22" spans="1:14">
      <c r="A22" s="287">
        <v>45000</v>
      </c>
      <c r="B22" s="255" t="s">
        <v>363</v>
      </c>
      <c r="C22" s="255" t="s">
        <v>363</v>
      </c>
      <c r="D22" s="285">
        <f>($G$2-G21)*$M$3+D21</f>
        <v>21.780529999999999</v>
      </c>
      <c r="E22" s="285">
        <f>($F$2-F21)*$L$3+E21</f>
        <v>23.82216</v>
      </c>
      <c r="F22" s="255">
        <v>-1E-4</v>
      </c>
      <c r="G22" s="255">
        <v>-3.3999999999999998E-3</v>
      </c>
      <c r="H22" s="255">
        <v>807.6</v>
      </c>
      <c r="I22" s="255">
        <v>602.5</v>
      </c>
      <c r="J22" s="35"/>
      <c r="K22" s="35"/>
      <c r="L22" s="35"/>
      <c r="M22" s="35"/>
      <c r="N22" s="35"/>
    </row>
    <row r="23" spans="1:14">
      <c r="A23" s="287">
        <v>45016</v>
      </c>
      <c r="B23" s="229">
        <v>20.440999999999999</v>
      </c>
      <c r="C23" s="229">
        <v>23.891999999999999</v>
      </c>
      <c r="D23" s="285">
        <v>21.780999999999999</v>
      </c>
      <c r="E23" s="285">
        <v>23.821999999999999</v>
      </c>
      <c r="F23" s="255">
        <v>3.2199999999999999E-2</v>
      </c>
      <c r="G23" s="255">
        <v>1.47E-2</v>
      </c>
      <c r="H23" s="255">
        <v>806.755</v>
      </c>
      <c r="I23" s="255">
        <v>601.68399999999997</v>
      </c>
      <c r="J23" s="35"/>
      <c r="K23" s="35"/>
      <c r="L23" s="35"/>
      <c r="M23" s="35"/>
      <c r="N23" s="35"/>
    </row>
    <row r="24" spans="1:14" ht="36.75" customHeight="1">
      <c r="A24" s="288">
        <v>45016</v>
      </c>
      <c r="B24" s="722" t="s">
        <v>372</v>
      </c>
      <c r="C24" s="722"/>
      <c r="D24" s="285">
        <f>($G$2-G23)*$M$3+D23</f>
        <v>22.044129999999999</v>
      </c>
      <c r="E24" s="285">
        <f>($F$2-F23)*$L$3+E23</f>
        <v>23.48068</v>
      </c>
      <c r="F24" s="722" t="s">
        <v>373</v>
      </c>
      <c r="G24" s="722"/>
      <c r="H24" s="255">
        <v>807.62400000000002</v>
      </c>
      <c r="I24" s="255">
        <v>601.70000000000005</v>
      </c>
      <c r="J24" s="35"/>
      <c r="K24" s="35"/>
      <c r="L24" s="35"/>
      <c r="M24" s="35"/>
      <c r="N24" s="35"/>
    </row>
    <row r="25" spans="1:14">
      <c r="A25" s="287">
        <v>45016</v>
      </c>
      <c r="B25" s="229">
        <v>20.440999999999999</v>
      </c>
      <c r="C25" s="229">
        <v>23.891999999999999</v>
      </c>
      <c r="D25" s="229">
        <v>21.7805</v>
      </c>
      <c r="E25" s="229">
        <v>23.822199999999999</v>
      </c>
      <c r="F25" s="255">
        <v>9.2999999999999992E-3</v>
      </c>
      <c r="G25" s="255">
        <v>2.5000000000000001E-3</v>
      </c>
      <c r="H25" s="255">
        <v>794</v>
      </c>
      <c r="I25" s="255">
        <v>582</v>
      </c>
      <c r="J25" s="35"/>
      <c r="K25" s="35"/>
      <c r="L25" s="35"/>
      <c r="M25" s="35"/>
      <c r="N25" s="35"/>
    </row>
    <row r="26" spans="1:14">
      <c r="A26" s="288">
        <v>45016</v>
      </c>
      <c r="B26" s="229">
        <v>20.440999999999999</v>
      </c>
      <c r="C26" s="229">
        <v>23.891999999999999</v>
      </c>
      <c r="D26" s="285">
        <v>21.780999999999999</v>
      </c>
      <c r="E26" s="285">
        <v>23.821999999999999</v>
      </c>
      <c r="F26" s="255">
        <v>3.2199999999999999E-2</v>
      </c>
      <c r="G26" s="255">
        <v>1.3299999999999999E-2</v>
      </c>
      <c r="H26" s="255">
        <v>807.4</v>
      </c>
      <c r="I26" s="255">
        <v>601.79999999999995</v>
      </c>
      <c r="J26" s="35" t="s">
        <v>374</v>
      </c>
      <c r="K26" s="35"/>
      <c r="L26" s="35"/>
      <c r="M26" s="35"/>
      <c r="N26" s="35"/>
    </row>
    <row r="27" spans="1:14">
      <c r="A27" s="287">
        <v>45016</v>
      </c>
      <c r="B27" s="255">
        <v>20.0655</v>
      </c>
      <c r="C27" s="255">
        <v>243.07400000000001</v>
      </c>
      <c r="D27" s="285">
        <f>($G$2-G26)*$M$3+D26</f>
        <v>22.019069999999999</v>
      </c>
      <c r="E27" s="285">
        <f>($F$2-F26)*$L$3+E26</f>
        <v>23.48068</v>
      </c>
      <c r="F27" s="255">
        <v>5.4999999999999997E-3</v>
      </c>
      <c r="G27" s="255">
        <v>6.0000000000000001E-3</v>
      </c>
      <c r="H27" s="255">
        <v>812.8</v>
      </c>
      <c r="I27" s="255">
        <v>606.4</v>
      </c>
      <c r="J27" s="35"/>
      <c r="K27" s="35"/>
      <c r="L27" s="35"/>
      <c r="M27" s="35"/>
      <c r="N27" s="35"/>
    </row>
    <row r="28" spans="1:14" ht="15" thickBot="1">
      <c r="A28" s="288">
        <v>45019</v>
      </c>
      <c r="B28" s="229">
        <v>20.440999999999999</v>
      </c>
      <c r="C28" s="229">
        <v>23.891999999999999</v>
      </c>
      <c r="D28" s="229" t="s">
        <v>375</v>
      </c>
      <c r="E28" s="229">
        <v>23.821999999999999</v>
      </c>
      <c r="F28" s="255">
        <v>0.1045</v>
      </c>
      <c r="G28" s="255">
        <v>-5.9999999999999995E-4</v>
      </c>
      <c r="H28" s="255">
        <v>808.6</v>
      </c>
      <c r="I28" s="255">
        <v>666.7</v>
      </c>
      <c r="J28" s="35"/>
      <c r="K28" s="35"/>
      <c r="L28" s="130">
        <v>10.6</v>
      </c>
      <c r="M28" s="113">
        <v>-17.899999999999999</v>
      </c>
      <c r="N28" s="35"/>
    </row>
    <row r="29" spans="1:14">
      <c r="A29" s="288">
        <v>45019</v>
      </c>
      <c r="B29" s="255">
        <v>20.494</v>
      </c>
      <c r="C29" s="255">
        <v>23.891999999999999</v>
      </c>
      <c r="D29" s="285">
        <v>21.780999999999999</v>
      </c>
      <c r="E29" s="285">
        <v>23.821999999999999</v>
      </c>
      <c r="F29" s="255">
        <v>2.7400000000000001E-2</v>
      </c>
      <c r="G29" s="255">
        <v>1E-4</v>
      </c>
      <c r="H29" s="255">
        <v>808.6</v>
      </c>
      <c r="I29" s="255">
        <v>601.79999999999995</v>
      </c>
      <c r="J29" s="35"/>
      <c r="K29" s="35"/>
      <c r="L29" s="35">
        <f>L28/2</f>
        <v>5.3</v>
      </c>
      <c r="M29" s="35">
        <f>M28/2</f>
        <v>-8.9499999999999993</v>
      </c>
      <c r="N29" s="35"/>
    </row>
    <row r="30" spans="1:14">
      <c r="A30" s="288">
        <v>45019</v>
      </c>
      <c r="B30" s="255">
        <v>20.3385</v>
      </c>
      <c r="C30" s="255">
        <v>23.894500000000001</v>
      </c>
      <c r="D30" s="285">
        <f>($G$2-G29)*$M$3+D29</f>
        <v>21.782789999999999</v>
      </c>
      <c r="E30" s="285">
        <f>($F$2-F29)*$L$3+E29</f>
        <v>23.531559999999999</v>
      </c>
      <c r="F30" s="255">
        <v>1.35E-2</v>
      </c>
      <c r="G30" s="255">
        <v>-5.9999999999999995E-4</v>
      </c>
      <c r="H30" s="255">
        <v>807.8</v>
      </c>
      <c r="I30" s="255">
        <v>601.9</v>
      </c>
      <c r="J30" s="35"/>
      <c r="K30" s="35"/>
      <c r="L30" s="35"/>
      <c r="M30" s="35"/>
      <c r="N30" s="35"/>
    </row>
    <row r="31" spans="1:14">
      <c r="A31" s="288">
        <v>45019</v>
      </c>
      <c r="B31" s="255">
        <v>20.260999999999999</v>
      </c>
      <c r="C31" s="255">
        <v>23.892499999999998</v>
      </c>
      <c r="D31" s="285">
        <f>($G$2-G30)*$M$3+D30</f>
        <v>21.77205</v>
      </c>
      <c r="E31" s="285">
        <f>($F$2-F30)*$L$3+E30</f>
        <v>23.388459999999998</v>
      </c>
      <c r="F31" s="255">
        <v>6.4999999999999997E-3</v>
      </c>
      <c r="G31" s="255">
        <v>-5.9999999999999995E-4</v>
      </c>
      <c r="H31" s="255">
        <v>807.8</v>
      </c>
      <c r="I31" s="255">
        <v>601.70000000000005</v>
      </c>
      <c r="J31" s="35"/>
      <c r="K31" s="35"/>
      <c r="L31" s="35" t="s">
        <v>376</v>
      </c>
      <c r="M31" s="35"/>
      <c r="N31" s="35"/>
    </row>
    <row r="32" spans="1:14">
      <c r="A32" s="288">
        <v>45019</v>
      </c>
      <c r="B32" s="255">
        <v>20.222999999999999</v>
      </c>
      <c r="C32" s="255">
        <v>23.892499999999998</v>
      </c>
      <c r="D32" s="285">
        <f>($G$2-G31)*$M$3+D31</f>
        <v>21.761310000000002</v>
      </c>
      <c r="E32" s="285">
        <f>($F$2-F31)*$L$3+E31</f>
        <v>23.319559999999999</v>
      </c>
      <c r="F32" s="255">
        <v>2E-3</v>
      </c>
      <c r="G32" s="255">
        <v>8.0000000000000004E-4</v>
      </c>
      <c r="H32" s="255">
        <v>807.6</v>
      </c>
      <c r="I32" s="255">
        <v>601.79999999999995</v>
      </c>
      <c r="J32" s="35"/>
      <c r="K32" s="35"/>
      <c r="L32" s="35"/>
      <c r="M32" s="35"/>
      <c r="N32" s="35"/>
    </row>
    <row r="33" spans="1:14">
      <c r="A33" s="288">
        <v>45022</v>
      </c>
      <c r="B33" s="255">
        <v>20.222999999999999</v>
      </c>
      <c r="C33" s="255">
        <v>23.893000000000001</v>
      </c>
      <c r="D33" s="285">
        <v>21.771000000000001</v>
      </c>
      <c r="E33" s="285">
        <v>23.571000000000002</v>
      </c>
      <c r="F33" s="255">
        <v>-7.4700000000000003E-2</v>
      </c>
      <c r="G33" s="255">
        <v>9.1000000000000004E-3</v>
      </c>
      <c r="H33" s="255" t="s">
        <v>363</v>
      </c>
      <c r="I33" s="255" t="s">
        <v>363</v>
      </c>
      <c r="J33" s="35"/>
      <c r="K33" s="35"/>
      <c r="L33" s="35"/>
      <c r="M33" s="35"/>
      <c r="N33" s="35"/>
    </row>
    <row r="34" spans="1:14">
      <c r="A34" s="289">
        <v>45022</v>
      </c>
      <c r="B34" s="164">
        <v>20.601500000000001</v>
      </c>
      <c r="C34" s="164">
        <v>23.942499999999999</v>
      </c>
      <c r="D34" s="285">
        <f>($G$2-G33)*$M$3+D33</f>
        <v>21.933890000000002</v>
      </c>
      <c r="E34" s="285">
        <f>($F$2-F33)*$L$3+E33</f>
        <v>24.362820000000003</v>
      </c>
      <c r="F34" s="164">
        <v>4.65E-2</v>
      </c>
      <c r="G34" s="164">
        <v>9.7999999999999997E-3</v>
      </c>
      <c r="H34" s="164">
        <v>807</v>
      </c>
      <c r="I34" s="164">
        <v>601.9</v>
      </c>
    </row>
    <row r="35" spans="1:14">
      <c r="A35" s="289">
        <v>45022</v>
      </c>
      <c r="B35" s="164">
        <v>20.3354</v>
      </c>
      <c r="C35" s="164">
        <v>24.0075</v>
      </c>
      <c r="D35" s="285">
        <f>($G$2-G34)*$M$3+D34</f>
        <v>22.109310000000001</v>
      </c>
      <c r="E35" s="285">
        <f>($F$2-F34)*$L$3+E34</f>
        <v>23.869920000000004</v>
      </c>
      <c r="F35" s="164">
        <v>2.35E-2</v>
      </c>
      <c r="G35" s="164">
        <v>5.3E-3</v>
      </c>
      <c r="H35" s="164">
        <v>808.7</v>
      </c>
      <c r="I35" s="164">
        <v>601.79999999999995</v>
      </c>
    </row>
    <row r="36" spans="1:14">
      <c r="A36" s="289">
        <v>45022</v>
      </c>
      <c r="B36" s="164">
        <v>20.202999999999999</v>
      </c>
      <c r="C36" s="164">
        <v>24.043099999999999</v>
      </c>
      <c r="D36" s="285">
        <f>($G$2-G35)*$M$3+D35</f>
        <v>22.204180000000001</v>
      </c>
      <c r="E36" s="285">
        <f>($F$2-F35)*$L$3+E35</f>
        <v>23.620820000000005</v>
      </c>
      <c r="F36" s="164">
        <v>8.3000000000000001E-3</v>
      </c>
      <c r="G36" s="164">
        <v>4.5999999999999999E-3</v>
      </c>
      <c r="H36" s="164">
        <v>807.7</v>
      </c>
      <c r="I36" s="164">
        <v>601.79999999999995</v>
      </c>
    </row>
    <row r="37" spans="1:14">
      <c r="A37" s="289">
        <v>45022</v>
      </c>
      <c r="B37" s="164">
        <v>20.156099999999999</v>
      </c>
      <c r="C37" s="164">
        <v>24.071200000000001</v>
      </c>
      <c r="D37" s="285">
        <f>($G$2-G36)*$M$3+D36</f>
        <v>22.286519999999999</v>
      </c>
      <c r="E37" s="285">
        <f>($F$2-F36)*$L$3+E36</f>
        <v>23.532840000000004</v>
      </c>
      <c r="F37" s="164">
        <v>4.1000000000000003E-3</v>
      </c>
      <c r="G37" s="164">
        <v>4.0000000000000002E-4</v>
      </c>
      <c r="H37" s="164">
        <v>807.6</v>
      </c>
      <c r="I37" s="164">
        <v>602.6</v>
      </c>
    </row>
    <row r="40" spans="1:14">
      <c r="A40" s="289">
        <v>45026</v>
      </c>
      <c r="B40" s="164">
        <v>20.156099999999999</v>
      </c>
      <c r="C40" s="164">
        <v>24.071200000000001</v>
      </c>
      <c r="D40" s="164">
        <v>22.0288</v>
      </c>
      <c r="E40" s="164">
        <v>23.5519</v>
      </c>
      <c r="F40" s="164">
        <v>8.0100000000000005E-2</v>
      </c>
      <c r="G40" s="164">
        <v>1E-4</v>
      </c>
      <c r="L40">
        <f>L3*2</f>
        <v>21.2</v>
      </c>
      <c r="M40">
        <f>M3*2</f>
        <v>-35.799999999999997</v>
      </c>
    </row>
    <row r="41" spans="1:14">
      <c r="A41" s="289">
        <v>45026</v>
      </c>
      <c r="B41" s="164">
        <v>20.754999999999999</v>
      </c>
      <c r="C41" s="164">
        <v>24.052199999999999</v>
      </c>
      <c r="D41" s="285">
        <v>22.029699999999998</v>
      </c>
      <c r="E41" s="285">
        <v>24.0474</v>
      </c>
      <c r="F41" s="164">
        <v>5.1299999999999998E-2</v>
      </c>
      <c r="G41" s="164">
        <v>-1.7600000000000001E-2</v>
      </c>
      <c r="H41" s="164">
        <v>808</v>
      </c>
      <c r="I41" s="164">
        <v>602</v>
      </c>
    </row>
    <row r="42" spans="1:14">
      <c r="A42" s="289">
        <v>45026</v>
      </c>
      <c r="B42" s="164">
        <v>20.457000000000001</v>
      </c>
      <c r="C42" s="164">
        <v>23.952200000000001</v>
      </c>
      <c r="D42" s="285">
        <f>($G$2-G41)*$M$3+D41</f>
        <v>21.714659999999999</v>
      </c>
      <c r="E42" s="285">
        <f>($F$2-F41)*$L$3+E41</f>
        <v>23.503619999999998</v>
      </c>
      <c r="F42" s="164">
        <v>2.5999999999999999E-2</v>
      </c>
      <c r="G42" s="164">
        <v>-8.9999999999999993E-3</v>
      </c>
      <c r="H42" s="164">
        <v>807.6</v>
      </c>
      <c r="I42" s="164">
        <v>601.9</v>
      </c>
      <c r="L42" t="s">
        <v>377</v>
      </c>
      <c r="M42" t="s">
        <v>378</v>
      </c>
    </row>
    <row r="43" spans="1:14">
      <c r="A43" s="289">
        <v>45026</v>
      </c>
      <c r="B43" s="164">
        <v>20.305399999999999</v>
      </c>
      <c r="C43" s="164">
        <v>23.901599999999998</v>
      </c>
      <c r="D43" s="285">
        <f>($G$2-G42)*$M$3+D42</f>
        <v>21.553559999999997</v>
      </c>
      <c r="E43" s="285">
        <f>($F$2-F42)*$L$3+E42</f>
        <v>23.228019999999997</v>
      </c>
      <c r="F43" s="164">
        <v>1.2800000000000001E-2</v>
      </c>
      <c r="G43" s="164">
        <v>-4.4000000000000003E-3</v>
      </c>
      <c r="H43" s="164">
        <v>806.8</v>
      </c>
      <c r="I43" s="164">
        <v>601.9</v>
      </c>
      <c r="L43">
        <f>(F2-F45)*L3</f>
        <v>0.17701999999999998</v>
      </c>
      <c r="M43">
        <f>(G2-G45)*M3</f>
        <v>-0.51551999999999998</v>
      </c>
    </row>
    <row r="44" spans="1:14">
      <c r="A44" s="289">
        <v>45026</v>
      </c>
      <c r="B44" s="164">
        <v>20.227399999999999</v>
      </c>
      <c r="C44" s="164">
        <v>23.875599999999999</v>
      </c>
      <c r="D44" s="285">
        <f>($G$2-G43)*$M$3+D43</f>
        <v>21.474799999999998</v>
      </c>
      <c r="E44" s="285">
        <f>($F$2-F43)*$L$3+E43</f>
        <v>23.092339999999997</v>
      </c>
      <c r="F44" s="164">
        <v>4.7999999999999996E-3</v>
      </c>
      <c r="G44" s="164">
        <v>-1.2999999999999999E-3</v>
      </c>
      <c r="H44" s="164">
        <v>806.8</v>
      </c>
      <c r="I44" s="164">
        <v>601</v>
      </c>
      <c r="L44" s="91">
        <f>L43+E45</f>
        <v>23.746919999999999</v>
      </c>
      <c r="M44" s="91">
        <f>M43+D45</f>
        <v>21.236780000000003</v>
      </c>
    </row>
    <row r="45" spans="1:14">
      <c r="A45" s="335">
        <v>45069</v>
      </c>
      <c r="B45" s="164">
        <v>20.227399999999999</v>
      </c>
      <c r="C45" s="164">
        <v>23.875599999999999</v>
      </c>
      <c r="D45" s="164">
        <v>21.752300000000002</v>
      </c>
      <c r="E45" s="164">
        <v>23.569900000000001</v>
      </c>
      <c r="F45" s="164">
        <v>-1.67E-2</v>
      </c>
      <c r="G45" s="164">
        <v>-2.8799999999999999E-2</v>
      </c>
      <c r="H45" s="164">
        <v>808.43899999999996</v>
      </c>
      <c r="I45" s="164">
        <v>601.67200000000003</v>
      </c>
    </row>
    <row r="46" spans="1:14">
      <c r="D46" s="285">
        <f>($G$2-G45)*$M$3+D45</f>
        <v>21.236780000000003</v>
      </c>
      <c r="E46" s="285">
        <f>($F$2-F45)*$L$3+E45</f>
        <v>23.746919999999999</v>
      </c>
      <c r="F46" s="164">
        <v>2.9999999999999997E-4</v>
      </c>
      <c r="G46" s="164">
        <v>4.8999999999999998E-3</v>
      </c>
    </row>
    <row r="47" spans="1:14" ht="15.6">
      <c r="A47" s="335">
        <v>45070</v>
      </c>
      <c r="B47" s="177">
        <v>20.312000000000001</v>
      </c>
      <c r="C47" s="177">
        <v>23.7254</v>
      </c>
      <c r="D47" s="177">
        <v>21.523599999999998</v>
      </c>
      <c r="E47" s="177">
        <v>23.6494</v>
      </c>
      <c r="F47" s="164">
        <v>-2.2000000000000001E-3</v>
      </c>
      <c r="G47" s="164">
        <v>2.8E-3</v>
      </c>
      <c r="H47" s="336">
        <v>807.48</v>
      </c>
      <c r="I47" s="336">
        <v>601.85</v>
      </c>
    </row>
    <row r="48" spans="1:14">
      <c r="D48" s="285">
        <f>($G$2-G47)*$M$3+D47</f>
        <v>21.573719999999998</v>
      </c>
      <c r="E48" s="285">
        <f>($F$2-F47)*$L$3+E47</f>
        <v>23.672719999999998</v>
      </c>
    </row>
    <row r="49" spans="1:15" ht="15.6">
      <c r="A49" s="335">
        <v>45071</v>
      </c>
      <c r="B49" s="346">
        <v>20.3048</v>
      </c>
      <c r="C49" s="346">
        <v>23.7255</v>
      </c>
      <c r="D49" s="346">
        <v>21.523599999999998</v>
      </c>
      <c r="E49" s="346">
        <v>23.6494</v>
      </c>
      <c r="F49" s="164">
        <v>1.0699999999999999E-2</v>
      </c>
      <c r="G49" s="164">
        <v>4.8999999999999998E-3</v>
      </c>
      <c r="H49" s="322">
        <v>807.59799999999996</v>
      </c>
      <c r="I49" s="322">
        <v>601.83900000000006</v>
      </c>
      <c r="N49" t="s">
        <v>379</v>
      </c>
    </row>
    <row r="50" spans="1:15">
      <c r="D50" s="285">
        <f>($G$2-G49)*$M$3+D49</f>
        <v>21.61131</v>
      </c>
      <c r="E50" s="285">
        <f>($F$2-F49)*$L$3+E49</f>
        <v>23.535979999999999</v>
      </c>
    </row>
    <row r="51" spans="1:15" ht="15.6">
      <c r="A51" s="335">
        <v>45071</v>
      </c>
      <c r="B51" s="281">
        <v>20.520499999999998</v>
      </c>
      <c r="C51" s="281">
        <v>23.803999999999998</v>
      </c>
      <c r="D51" s="282">
        <v>21.816299999999998</v>
      </c>
      <c r="E51" s="282">
        <v>23.921099999999999</v>
      </c>
      <c r="F51" s="281">
        <v>7.6E-3</v>
      </c>
      <c r="G51" s="281">
        <v>-6.8999999999999999E-3</v>
      </c>
      <c r="H51" s="281">
        <v>807.86</v>
      </c>
      <c r="I51" s="281">
        <v>601.75</v>
      </c>
      <c r="N51" s="322"/>
      <c r="O51" s="322"/>
    </row>
    <row r="52" spans="1:15">
      <c r="B52" s="284"/>
      <c r="C52" s="284"/>
      <c r="D52" s="285">
        <f>($G$2-G51)*$M$3+D51</f>
        <v>21.692789999999999</v>
      </c>
      <c r="E52" s="285">
        <f>($F$2-F51)*$L$3+E51</f>
        <v>23.840540000000001</v>
      </c>
      <c r="F52" s="284"/>
      <c r="G52" s="284"/>
      <c r="H52" s="284"/>
      <c r="I52" s="284"/>
    </row>
    <row r="53" spans="1:15">
      <c r="B53" s="284"/>
      <c r="C53" s="284"/>
      <c r="D53" s="285"/>
      <c r="E53" s="285"/>
      <c r="F53" s="284"/>
      <c r="G53" s="284"/>
      <c r="H53" s="284"/>
      <c r="I53" s="284"/>
    </row>
    <row r="54" spans="1:15">
      <c r="A54" s="280">
        <v>45072</v>
      </c>
      <c r="B54" s="281">
        <v>20.2408</v>
      </c>
      <c r="C54" s="281">
        <v>23.753499999999999</v>
      </c>
      <c r="D54" s="282">
        <v>21.567499999999999</v>
      </c>
      <c r="E54" s="282">
        <v>23.592700000000001</v>
      </c>
      <c r="F54" s="281">
        <f>'Position Log - Ball'!V91</f>
        <v>-6.54E-2</v>
      </c>
      <c r="G54" s="281">
        <f>'Position Log - Ball'!W91</f>
        <v>-0.06</v>
      </c>
      <c r="H54" s="281">
        <f>'Position Log - Ball'!X92</f>
        <v>807.9</v>
      </c>
      <c r="I54" s="281">
        <f>'Position Log - Ball'!Y92</f>
        <v>602.6</v>
      </c>
    </row>
    <row r="55" spans="1:15">
      <c r="A55" s="283"/>
      <c r="B55" s="284"/>
      <c r="C55" s="284"/>
      <c r="D55" s="285">
        <f>($G$2-G54)*$M$3+D54</f>
        <v>20.493499999999997</v>
      </c>
      <c r="E55" s="285">
        <f>($F$2-F54)*$L$3+E54</f>
        <v>24.28594</v>
      </c>
      <c r="F55" s="284"/>
      <c r="G55" s="284"/>
      <c r="H55" s="284"/>
      <c r="I55" s="284"/>
    </row>
    <row r="56" spans="1:15">
      <c r="A56" s="280">
        <v>45072</v>
      </c>
      <c r="B56" s="281">
        <v>20.811800000000002</v>
      </c>
      <c r="C56" s="281">
        <v>23.215499999999999</v>
      </c>
      <c r="D56" s="282">
        <f>D55</f>
        <v>20.493499999999997</v>
      </c>
      <c r="E56" s="282">
        <f>E55</f>
        <v>24.28594</v>
      </c>
      <c r="F56" s="281">
        <f>'Position Log - Ball'!V93</f>
        <v>-3.3399999999999999E-2</v>
      </c>
      <c r="G56" s="281">
        <f>'Position Log - Ball'!W93</f>
        <v>-2.63E-2</v>
      </c>
      <c r="H56" s="281">
        <f>'Position Log - Ball'!X94</f>
        <v>807.8</v>
      </c>
      <c r="I56" s="281">
        <f>'Position Log - Ball'!Y94</f>
        <v>601.70000000000005</v>
      </c>
    </row>
    <row r="57" spans="1:15">
      <c r="A57" s="283"/>
      <c r="B57" s="284"/>
      <c r="C57" s="284"/>
      <c r="D57" s="285">
        <f>($G$2-G56)*$M$3+D56</f>
        <v>20.022729999999996</v>
      </c>
      <c r="E57" s="285">
        <f>($F$2-F56)*$L$3+E56</f>
        <v>24.639980000000001</v>
      </c>
      <c r="F57" s="284"/>
      <c r="G57" s="284"/>
      <c r="H57" s="284"/>
      <c r="I57" s="284"/>
    </row>
    <row r="58" spans="1:15">
      <c r="A58" s="280">
        <v>45072</v>
      </c>
      <c r="B58" s="281">
        <v>20.811800000000002</v>
      </c>
      <c r="C58" s="281">
        <v>23.215499999999999</v>
      </c>
      <c r="D58" s="282">
        <f>D57</f>
        <v>20.022729999999996</v>
      </c>
      <c r="E58" s="282">
        <f>E57</f>
        <v>24.639980000000001</v>
      </c>
      <c r="F58" s="281">
        <f>'Position Log - Ball'!V95</f>
        <v>-1.8800000000000001E-2</v>
      </c>
      <c r="G58" s="281">
        <f>'Position Log - Ball'!W95</f>
        <v>-9.7000000000000003E-3</v>
      </c>
      <c r="H58" s="281">
        <f>'Position Log - Ball'!X96</f>
        <v>807.7</v>
      </c>
      <c r="I58" s="281">
        <f>'Position Log - Ball'!Y96</f>
        <v>601.74</v>
      </c>
    </row>
    <row r="59" spans="1:15">
      <c r="A59" s="283"/>
      <c r="B59" s="284"/>
      <c r="C59" s="284"/>
      <c r="D59" s="285">
        <f>($G$2-G58)*$M$3+D58</f>
        <v>19.849099999999996</v>
      </c>
      <c r="E59" s="285">
        <f>($F$2-F58)*$L$3+E58</f>
        <v>24.839260000000003</v>
      </c>
      <c r="F59" s="284"/>
      <c r="G59" s="284"/>
      <c r="H59" s="284"/>
      <c r="I59" s="284"/>
    </row>
    <row r="60" spans="1:15">
      <c r="A60" s="280">
        <v>45072</v>
      </c>
      <c r="B60" s="281">
        <f>'Position Log - Ball'!G98</f>
        <v>20.9817</v>
      </c>
      <c r="C60" s="281">
        <f>'Position Log - Ball'!H98</f>
        <v>23.1325</v>
      </c>
      <c r="D60" s="282">
        <f>D59</f>
        <v>19.849099999999996</v>
      </c>
      <c r="E60" s="282">
        <f>E59</f>
        <v>24.839260000000003</v>
      </c>
      <c r="F60" s="281">
        <f>'Position Log - Ball'!V97</f>
        <v>-4.8999999999999998E-3</v>
      </c>
      <c r="G60" s="281">
        <f>'Position Log - Ball'!W97</f>
        <v>-1.2999999999999999E-3</v>
      </c>
      <c r="H60" s="281">
        <f>'Position Log - Ball'!X98</f>
        <v>807.7</v>
      </c>
      <c r="I60" s="281">
        <f>'Position Log - Ball'!Y98</f>
        <v>601.9</v>
      </c>
    </row>
    <row r="61" spans="1:15">
      <c r="A61" s="283"/>
      <c r="B61" s="284"/>
      <c r="C61" s="284"/>
      <c r="D61" s="285">
        <f>($G$2-G60)*$M$3+D60</f>
        <v>19.825829999999996</v>
      </c>
      <c r="E61" s="285">
        <f>($F$2-F60)*$L$3+E60</f>
        <v>24.891200000000001</v>
      </c>
      <c r="F61" s="284"/>
      <c r="G61" s="284"/>
      <c r="H61" s="284"/>
      <c r="I61" s="284"/>
    </row>
    <row r="63" spans="1:15">
      <c r="A63" s="280">
        <v>45077</v>
      </c>
      <c r="B63" s="281">
        <f>'Position Log - Ball'!G154</f>
        <v>20.985800000000001</v>
      </c>
      <c r="C63" s="281">
        <f>'Position Log - Ball'!H154</f>
        <v>23.135100000000001</v>
      </c>
      <c r="D63" s="282">
        <f>'Position Log - Ball'!I154</f>
        <v>20.668900000000001</v>
      </c>
      <c r="E63" s="282">
        <f>'Position Log - Ball'!J154</f>
        <v>24.267900000000001</v>
      </c>
      <c r="F63" s="281">
        <f>'Position Log - Ball'!V154</f>
        <v>-1.3600000000000001E-3</v>
      </c>
      <c r="G63" s="281">
        <f>'Position Log - Ball'!W154</f>
        <v>5.3E-3</v>
      </c>
      <c r="H63" s="281">
        <f>'Position Log - Ball'!X155</f>
        <v>814.7</v>
      </c>
      <c r="I63" s="281">
        <f>'Position Log - Ball'!Y155</f>
        <v>592.9</v>
      </c>
    </row>
    <row r="64" spans="1:15">
      <c r="A64" s="283"/>
      <c r="B64" s="284"/>
      <c r="C64" s="284"/>
      <c r="D64" s="285">
        <f>($G$2-G63)*$M$3+D63</f>
        <v>20.763770000000001</v>
      </c>
      <c r="E64" s="285">
        <f>($F$2-F63)*$L$3+E63</f>
        <v>24.282316000000002</v>
      </c>
      <c r="F64" s="284"/>
      <c r="G64" s="284"/>
      <c r="H64" s="284"/>
      <c r="I64" s="284"/>
    </row>
    <row r="65" spans="1:14">
      <c r="A65" s="280">
        <v>45077</v>
      </c>
      <c r="B65" s="281">
        <f>'Position Log - Ball'!G156</f>
        <v>20.991499999999998</v>
      </c>
      <c r="C65" s="281">
        <f>'Position Log - Ball'!H156</f>
        <v>23.1675</v>
      </c>
      <c r="D65" s="281">
        <f>'Position Log - Ball'!I156</f>
        <v>20.7163</v>
      </c>
      <c r="E65" s="281">
        <f>'Position Log - Ball'!J156</f>
        <v>24.275099999999998</v>
      </c>
      <c r="F65" s="281">
        <f>'Position Log - Ball'!V156</f>
        <v>-1.47E-2</v>
      </c>
      <c r="G65" s="281">
        <f>'Position Log - Ball'!W156</f>
        <v>3.5000000000000001E-3</v>
      </c>
      <c r="H65" s="281">
        <f>'Position Log - Ball'!X157</f>
        <v>814.6</v>
      </c>
      <c r="I65" s="281">
        <f>'Position Log - Ball'!Y157</f>
        <v>592.66</v>
      </c>
    </row>
    <row r="66" spans="1:14">
      <c r="A66" s="283"/>
      <c r="B66" s="284"/>
      <c r="C66" s="284"/>
      <c r="D66" s="285">
        <f>($G$2-G65)*$M$3+D65</f>
        <v>20.778950000000002</v>
      </c>
      <c r="E66" s="285">
        <f>($F$2-F65)*$L$3+E65</f>
        <v>24.430919999999997</v>
      </c>
      <c r="F66" s="284"/>
      <c r="G66" s="284"/>
      <c r="H66" s="284"/>
      <c r="I66" s="284"/>
    </row>
    <row r="67" spans="1:14">
      <c r="A67" s="280">
        <v>45077</v>
      </c>
      <c r="B67" s="281">
        <f>'Position Log - Ball'!G158</f>
        <v>21.075900000000001</v>
      </c>
      <c r="C67" s="281">
        <f>'Position Log - Ball'!H158</f>
        <v>23.1874</v>
      </c>
      <c r="D67" s="281">
        <f>'Position Log - Ball'!I158</f>
        <v>20.747599999999998</v>
      </c>
      <c r="E67" s="281">
        <f>'Position Log - Ball'!J158</f>
        <v>24.353000000000002</v>
      </c>
      <c r="F67" s="281">
        <f>'Position Log - Ball'!V158</f>
        <v>-4.8999999999999998E-3</v>
      </c>
      <c r="G67" s="281">
        <f>'Position Log - Ball'!W158</f>
        <v>8.0000000000000004E-4</v>
      </c>
      <c r="H67" s="281">
        <f>'Position Log - Ball'!X159</f>
        <v>814.6</v>
      </c>
      <c r="I67" s="281">
        <f>'Position Log - Ball'!Y159</f>
        <v>592.96</v>
      </c>
    </row>
    <row r="68" spans="1:14">
      <c r="A68" s="283"/>
      <c r="B68" s="284"/>
      <c r="C68" s="284"/>
      <c r="D68" s="285">
        <f>($G$2-G67)*$M$3+D67</f>
        <v>20.76192</v>
      </c>
      <c r="E68" s="285">
        <f>($F$2-F67)*$L$3+E67</f>
        <v>24.40494</v>
      </c>
      <c r="F68" s="284"/>
      <c r="G68" s="284"/>
      <c r="H68" s="284"/>
      <c r="I68" s="284"/>
    </row>
    <row r="69" spans="1:14" ht="18">
      <c r="A69" s="289">
        <v>45078</v>
      </c>
      <c r="H69" s="502">
        <f>H2</f>
        <v>808</v>
      </c>
      <c r="I69" s="502">
        <f>I2</f>
        <v>602</v>
      </c>
    </row>
    <row r="70" spans="1:14">
      <c r="A70" s="280">
        <v>45078</v>
      </c>
      <c r="B70" s="281">
        <f>'Position Log - Ball'!G162</f>
        <v>21.103999999999999</v>
      </c>
      <c r="C70" s="281">
        <f>'Position Log - Ball'!H162</f>
        <v>23.192599999999999</v>
      </c>
      <c r="D70" s="281">
        <f>'Position Log - Ball'!I162</f>
        <v>20.754799999999999</v>
      </c>
      <c r="E70" s="281">
        <f>'Position Log - Ball'!J162</f>
        <v>24.379000000000001</v>
      </c>
      <c r="F70" s="281">
        <f>'Position Log - Ball'!V162</f>
        <v>-6.3E-3</v>
      </c>
      <c r="G70" s="281">
        <f>'Position Log - Ball'!W162</f>
        <v>6.0000000000000001E-3</v>
      </c>
      <c r="H70" s="281">
        <f>'Position Log - Ball'!X163</f>
        <v>820.78</v>
      </c>
      <c r="I70" s="281">
        <f>'Position Log - Ball'!Y163</f>
        <v>588.596</v>
      </c>
      <c r="J70" t="s">
        <v>380</v>
      </c>
    </row>
    <row r="71" spans="1:14">
      <c r="A71" s="283"/>
      <c r="B71" s="284"/>
      <c r="C71" s="284"/>
      <c r="D71" s="285">
        <f>($G$2-G70)*$M$3+D70</f>
        <v>20.862199999999998</v>
      </c>
      <c r="E71" s="285">
        <f>($F$2-F70)*$L$3+E70</f>
        <v>24.445780000000003</v>
      </c>
      <c r="F71" s="284"/>
      <c r="G71" s="284"/>
      <c r="H71" s="284"/>
      <c r="I71" s="284"/>
    </row>
    <row r="72" spans="1:14">
      <c r="A72" s="280">
        <v>45078</v>
      </c>
      <c r="B72" s="281">
        <f>'Position Log - Ball'!G165</f>
        <v>21.171800000000001</v>
      </c>
      <c r="C72" s="281">
        <f>'Position Log - Ball'!H165</f>
        <v>23.2484</v>
      </c>
      <c r="D72" s="281">
        <f>'Position Log - Ball'!I165</f>
        <v>20.851500000000001</v>
      </c>
      <c r="E72" s="281">
        <f>'Position Log - Ball'!J165</f>
        <v>24.4391</v>
      </c>
      <c r="F72" s="281">
        <f>'Position Log - Ball'!V165</f>
        <v>1.2999999999999999E-3</v>
      </c>
      <c r="G72" s="281">
        <f>'Position Log - Ball'!W165</f>
        <v>-3.0999999999999999E-3</v>
      </c>
      <c r="H72" s="281">
        <f>'Position Log - Ball'!X164</f>
        <v>814.05</v>
      </c>
      <c r="I72" s="281">
        <f>'Position Log - Ball'!Y164</f>
        <v>593.88</v>
      </c>
      <c r="J72" t="s">
        <v>380</v>
      </c>
    </row>
    <row r="73" spans="1:14">
      <c r="A73" s="283"/>
      <c r="B73" s="284"/>
      <c r="C73" s="284"/>
      <c r="D73" s="285">
        <f>($G$2-G72)*$M$3+D72</f>
        <v>20.796010000000003</v>
      </c>
      <c r="E73" s="285">
        <f>($F$2-F72)*$L$3+E72</f>
        <v>24.425319999999999</v>
      </c>
      <c r="F73" s="284"/>
      <c r="G73" s="284"/>
      <c r="H73" s="284"/>
      <c r="I73" s="284"/>
    </row>
    <row r="74" spans="1:14">
      <c r="A74" s="280">
        <v>45078</v>
      </c>
      <c r="B74" s="281">
        <f>'Position Log - Ball'!G167</f>
        <v>21.54</v>
      </c>
      <c r="C74" s="281">
        <f>'Position Log - Ball'!H167</f>
        <v>23.209800000000001</v>
      </c>
      <c r="D74" s="281">
        <f>'Position Log - Ball'!I167</f>
        <v>20.801600000000001</v>
      </c>
      <c r="E74" s="281">
        <f>'Position Log - Ball'!J167</f>
        <v>24.4267</v>
      </c>
      <c r="F74" s="281">
        <f>'Position Log - Ball'!V167</f>
        <v>6.8999999999999999E-3</v>
      </c>
      <c r="G74" s="281">
        <f>'Position Log - Ball'!W167</f>
        <v>-5.7999999999999996E-3</v>
      </c>
      <c r="H74" s="281">
        <f>'Position Log - Ball'!X166</f>
        <v>814.6</v>
      </c>
      <c r="I74" s="281">
        <f>'Position Log - Ball'!Y166</f>
        <v>594.6</v>
      </c>
      <c r="J74" t="s">
        <v>380</v>
      </c>
    </row>
    <row r="75" spans="1:14">
      <c r="A75" s="283"/>
      <c r="B75" s="284"/>
      <c r="C75" s="284"/>
      <c r="D75" s="285">
        <f>($G$2-G74)*$M$3+D74</f>
        <v>20.697780000000002</v>
      </c>
      <c r="E75" s="285">
        <f>($F$2-F74)*$L$3+E74</f>
        <v>24.353560000000002</v>
      </c>
      <c r="F75" s="284"/>
      <c r="G75" s="284"/>
      <c r="H75" s="284"/>
      <c r="I75" s="284"/>
    </row>
    <row r="76" spans="1:14">
      <c r="A76"/>
      <c r="B76"/>
      <c r="C76"/>
      <c r="D76"/>
      <c r="E76"/>
      <c r="F76"/>
      <c r="G76"/>
      <c r="H76"/>
      <c r="I76"/>
    </row>
    <row r="77" spans="1:14">
      <c r="A77"/>
      <c r="B77"/>
      <c r="C77"/>
      <c r="D77"/>
      <c r="E77"/>
      <c r="F77"/>
      <c r="G77"/>
      <c r="H77"/>
      <c r="I77"/>
    </row>
    <row r="78" spans="1:14">
      <c r="A78"/>
      <c r="B78"/>
      <c r="C78"/>
      <c r="D78"/>
      <c r="E78"/>
      <c r="F78"/>
      <c r="G78"/>
      <c r="H78"/>
      <c r="I78"/>
    </row>
    <row r="79" spans="1:14">
      <c r="A79" s="280">
        <v>45078</v>
      </c>
      <c r="B79" s="281">
        <f>'Position Log - Ball'!G172</f>
        <v>21.113199999999999</v>
      </c>
      <c r="C79" s="281">
        <f>'Position Log - Ball'!H172</f>
        <v>23.174800000000001</v>
      </c>
      <c r="D79" s="281">
        <f>'Position Log - Ball'!I172</f>
        <v>20.749700000000001</v>
      </c>
      <c r="E79" s="281">
        <f>'Position Log - Ball'!J172</f>
        <v>24.3901</v>
      </c>
      <c r="F79" s="281">
        <f>'Position Log - Ball'!V172</f>
        <v>8.9999999999999993E-3</v>
      </c>
      <c r="G79" s="281">
        <f>'Position Log - Ball'!W172</f>
        <v>-7.6E-3</v>
      </c>
      <c r="H79" s="281">
        <f>'Position Log - Ball'!X171</f>
        <v>807.68</v>
      </c>
      <c r="I79" s="281">
        <f>'Position Log - Ball'!Y171</f>
        <v>601.9</v>
      </c>
      <c r="N79" t="s">
        <v>381</v>
      </c>
    </row>
    <row r="80" spans="1:14">
      <c r="A80" s="283"/>
      <c r="B80" s="284"/>
      <c r="C80" s="284"/>
      <c r="D80" s="285">
        <f>($G$2-G79)*$M$3+D79</f>
        <v>20.613659999999999</v>
      </c>
      <c r="E80" s="285">
        <f>($F$2-F79)*$L$3+E79</f>
        <v>24.294699999999999</v>
      </c>
      <c r="F80" s="284"/>
      <c r="G80" s="284"/>
      <c r="H80" s="284"/>
      <c r="I80" s="284"/>
    </row>
    <row r="81" spans="1:12">
      <c r="A81"/>
      <c r="B81"/>
      <c r="C81"/>
      <c r="D81"/>
      <c r="E81"/>
      <c r="F81"/>
      <c r="G81"/>
      <c r="H81"/>
      <c r="I81"/>
    </row>
    <row r="82" spans="1:12">
      <c r="A82"/>
      <c r="B82"/>
      <c r="C82"/>
      <c r="D82"/>
      <c r="E82"/>
      <c r="F82"/>
      <c r="G82"/>
      <c r="H82"/>
      <c r="I82"/>
    </row>
    <row r="85" spans="1:12">
      <c r="A85" s="280">
        <v>45078</v>
      </c>
      <c r="B85" s="281">
        <f>'Position Log - Ball'!G210</f>
        <v>20.2972</v>
      </c>
      <c r="C85" s="281">
        <f>'Position Log - Ball'!H210</f>
        <v>23.711600000000001</v>
      </c>
      <c r="D85" s="281">
        <f>'Position Log - Ball'!I210</f>
        <v>21.523599999999998</v>
      </c>
      <c r="E85" s="281">
        <f>'Position Log - Ball'!J210</f>
        <v>23.6494</v>
      </c>
      <c r="F85" s="281">
        <f>'Position Log - Ball'!V210</f>
        <v>1.7299999999999999E-2</v>
      </c>
      <c r="G85" s="281">
        <f>'Position Log - Ball'!W210</f>
        <v>8.0000000000000002E-3</v>
      </c>
      <c r="H85" s="281">
        <f>'Position Log - Ball'!X209</f>
        <v>807.85</v>
      </c>
      <c r="I85" s="281">
        <f>'Position Log - Ball'!Y209</f>
        <v>601.80999999999995</v>
      </c>
    </row>
    <row r="86" spans="1:12">
      <c r="A86" s="283"/>
      <c r="B86" s="284"/>
      <c r="C86" s="284"/>
      <c r="D86" s="557">
        <f>($G$2-G85)*$M$3+D85</f>
        <v>21.666799999999999</v>
      </c>
      <c r="E86" s="557">
        <f>($F$2-F85)*$L$3+E85</f>
        <v>23.46602</v>
      </c>
      <c r="F86" s="284"/>
      <c r="G86" s="284"/>
      <c r="H86" s="284"/>
      <c r="I86" s="284"/>
      <c r="J86" t="s">
        <v>382</v>
      </c>
      <c r="K86" t="s">
        <v>383</v>
      </c>
    </row>
    <row r="87" spans="1:12">
      <c r="A87" s="280">
        <v>45078</v>
      </c>
      <c r="B87" s="281">
        <f>'Position Log - Ball'!G212</f>
        <v>20.302</v>
      </c>
      <c r="C87" s="281">
        <f>'Position Log - Ball'!H212</f>
        <v>23.714200000000002</v>
      </c>
      <c r="D87" s="281">
        <f>'Position Log - Ball'!I212</f>
        <v>21.523599999999998</v>
      </c>
      <c r="E87" s="281">
        <f>'Position Log - Ball'!J212</f>
        <v>23.6494</v>
      </c>
      <c r="F87" s="281">
        <f>'Position Log - Ball'!V212</f>
        <v>1.03E-2</v>
      </c>
      <c r="G87" s="281">
        <f>'Position Log - Ball'!W212</f>
        <v>4.8999999999999998E-3</v>
      </c>
      <c r="H87" s="281">
        <v>812</v>
      </c>
      <c r="I87" s="281">
        <v>609</v>
      </c>
      <c r="J87">
        <f>H87-H$2</f>
        <v>4</v>
      </c>
      <c r="K87">
        <f>I87-I$2</f>
        <v>7</v>
      </c>
    </row>
    <row r="88" spans="1:12">
      <c r="A88" s="283"/>
      <c r="B88" s="284">
        <f>($F$2-F87)*$L$3*1.04+B87-0.02</f>
        <v>20.168452800000001</v>
      </c>
      <c r="C88" s="284">
        <f>($G$2-G87)*$M$3*0.66+C87-0.02</f>
        <v>23.7520886</v>
      </c>
      <c r="D88" s="285">
        <f>($G$2-G87)*$M$3+D87</f>
        <v>21.61131</v>
      </c>
      <c r="E88" s="285">
        <f>($F$2-F87)*$L$3+E87</f>
        <v>23.540220000000001</v>
      </c>
      <c r="F88" s="284"/>
      <c r="G88" s="284"/>
      <c r="H88" s="284"/>
      <c r="I88" s="284"/>
    </row>
    <row r="89" spans="1:12">
      <c r="B89" s="284"/>
      <c r="C89" s="284"/>
      <c r="D89" s="285"/>
      <c r="E89" s="285"/>
    </row>
    <row r="90" spans="1:12">
      <c r="A90" s="280">
        <v>45078</v>
      </c>
      <c r="B90" s="281">
        <f>'Position Log - Ball'!G215</f>
        <v>20.184000000000001</v>
      </c>
      <c r="C90" s="281">
        <f>'Position Log - Ball'!H215</f>
        <v>23.776399999999999</v>
      </c>
      <c r="D90" s="281">
        <f>'Position Log - Ball'!I215</f>
        <v>21.6113</v>
      </c>
      <c r="E90" s="281">
        <f>'Position Log - Ball'!J215</f>
        <v>23.540199999999999</v>
      </c>
      <c r="F90" s="281">
        <f>'Position Log - Ball'!V215</f>
        <v>0</v>
      </c>
      <c r="G90" s="281">
        <f>'Position Log - Ball'!W215</f>
        <v>0</v>
      </c>
      <c r="H90" s="281">
        <v>812</v>
      </c>
      <c r="I90" s="281">
        <v>609</v>
      </c>
    </row>
    <row r="91" spans="1:12">
      <c r="A91" s="283"/>
      <c r="B91" s="284">
        <f>($F$2-F90)*$L$3*1.04+B90-0.02</f>
        <v>20.164000000000001</v>
      </c>
      <c r="C91" s="284">
        <f>($G$2-G90)*$M$3*0.66+C90-0.02</f>
        <v>23.756399999999999</v>
      </c>
      <c r="D91" s="285">
        <f>($G$2-G90)*$M$3+D90</f>
        <v>21.6113</v>
      </c>
      <c r="E91" s="285">
        <f>($F$2-F90)*$L$3+E90</f>
        <v>23.540199999999999</v>
      </c>
      <c r="F91" s="284"/>
      <c r="G91" s="284"/>
      <c r="H91" s="284"/>
      <c r="I91" s="284"/>
    </row>
    <row r="92" spans="1:12">
      <c r="B92" s="284"/>
      <c r="C92" s="284"/>
    </row>
    <row r="93" spans="1:12">
      <c r="A93" s="280">
        <v>45078</v>
      </c>
      <c r="B93" s="281">
        <f>'Position Log - Ball'!G253</f>
        <v>20.1892</v>
      </c>
      <c r="C93" s="281">
        <f>'Position Log - Ball'!H253</f>
        <v>23.798400000000001</v>
      </c>
      <c r="D93" s="281">
        <f>'Position Log - Ball'!I253</f>
        <v>21.6113</v>
      </c>
      <c r="E93" s="281">
        <f>'Position Log - Ball'!J253</f>
        <v>23.540199999999999</v>
      </c>
      <c r="F93" s="281">
        <f>'Position Log - Ball'!V253</f>
        <v>2E-3</v>
      </c>
      <c r="G93" s="281">
        <f>'Position Log - Ball'!W253</f>
        <v>-2.3999999999999998E-3</v>
      </c>
      <c r="H93" s="281">
        <v>812</v>
      </c>
      <c r="I93" s="281">
        <v>609</v>
      </c>
      <c r="K93">
        <f>0.5*F93</f>
        <v>1E-3</v>
      </c>
      <c r="L93">
        <f>0.5*G93</f>
        <v>-1.1999999999999999E-3</v>
      </c>
    </row>
    <row r="94" spans="1:12">
      <c r="A94" s="283"/>
      <c r="B94" s="591">
        <f>($F$2-F93)*$L$3*1.04+B93-0.02</f>
        <v>20.147151999999998</v>
      </c>
      <c r="C94" s="591">
        <f>($G$2-G93)*$M$3*0.66+C93-0.02</f>
        <v>23.750046400000002</v>
      </c>
      <c r="D94" s="285">
        <f>($G$2-G93)*$M$3+D93</f>
        <v>21.568339999999999</v>
      </c>
      <c r="E94" s="285">
        <f>($F$2-F93)*$L$3+E93</f>
        <v>23.518999999999998</v>
      </c>
      <c r="F94" s="284"/>
      <c r="G94" s="284"/>
      <c r="H94" s="284"/>
      <c r="I94" s="284"/>
    </row>
    <row r="95" spans="1:12">
      <c r="B95" s="284"/>
      <c r="C95" s="284"/>
    </row>
    <row r="96" spans="1:12">
      <c r="B96" s="284"/>
      <c r="C96" s="284"/>
    </row>
    <row r="97" spans="1:9">
      <c r="A97" s="280">
        <v>45078</v>
      </c>
      <c r="B97" s="281">
        <f>'Position Log - Ball'!G267</f>
        <v>20.168299999999999</v>
      </c>
      <c r="C97" s="281">
        <f>'Position Log - Ball'!H267</f>
        <v>23.745200000000001</v>
      </c>
      <c r="D97" s="281">
        <f>'Position Log - Ball'!I267</f>
        <v>21.554300000000001</v>
      </c>
      <c r="E97" s="281">
        <f>'Position Log - Ball'!J267</f>
        <v>23.522200000000002</v>
      </c>
      <c r="F97" s="281">
        <f>'Position Log - Ball'!V267</f>
        <v>2.3999999999999998E-3</v>
      </c>
      <c r="G97" s="281">
        <f>'Position Log - Ball'!W267</f>
        <v>-2.7000000000000001E-3</v>
      </c>
      <c r="H97" s="281">
        <v>812</v>
      </c>
      <c r="I97" s="281">
        <v>609</v>
      </c>
    </row>
    <row r="98" spans="1:9">
      <c r="A98" s="283"/>
      <c r="B98" s="591">
        <f>($F$2-F97)*$L$3*1.04+B97-0.02</f>
        <v>20.121842399999998</v>
      </c>
      <c r="C98" s="591">
        <f>($G$2-G97)*$M$3*0.66+C97-0.02</f>
        <v>23.693302200000002</v>
      </c>
      <c r="D98" s="285">
        <f>($G$2-G97)*$M$3+D97</f>
        <v>21.505970000000001</v>
      </c>
      <c r="E98" s="285">
        <f>($F$2-F97)*$L$3+E97</f>
        <v>23.496760000000002</v>
      </c>
      <c r="F98" s="284"/>
      <c r="G98" s="284"/>
      <c r="H98" s="284"/>
      <c r="I98" s="284"/>
    </row>
    <row r="99" spans="1:9">
      <c r="B99" s="591">
        <f t="shared" ref="B99:B111" si="0">($F$2-F98)*$L$3*1.04+B98-0.02</f>
        <v>20.101842399999999</v>
      </c>
      <c r="C99" s="591">
        <f t="shared" ref="C99:C111" si="1">($G$2-G98)*$M$3*0.66+C98-0.02</f>
        <v>23.673302200000002</v>
      </c>
    </row>
    <row r="100" spans="1:9">
      <c r="A100" s="280">
        <v>45082</v>
      </c>
      <c r="B100" s="591">
        <f t="shared" si="0"/>
        <v>20.081842399999999</v>
      </c>
      <c r="C100" s="591">
        <f t="shared" si="1"/>
        <v>23.653302200000002</v>
      </c>
      <c r="D100" s="281">
        <f>'Position Log - Ball'!I285</f>
        <v>21.561900000000001</v>
      </c>
      <c r="E100" s="281">
        <f>'Position Log - Ball'!J285</f>
        <v>23.68008</v>
      </c>
      <c r="F100" s="281">
        <f>'Position Log - Ball'!V285</f>
        <v>-1.1000000000000001E-3</v>
      </c>
      <c r="G100" s="281">
        <f>'Position Log - Ball'!W270</f>
        <v>3.2000000000000002E-3</v>
      </c>
      <c r="H100" s="281">
        <f>'Position Log - Ball'!X286</f>
        <v>807.67</v>
      </c>
      <c r="I100" s="281">
        <f>'Position Log - Ball'!Y286</f>
        <v>601.55999999999995</v>
      </c>
    </row>
    <row r="101" spans="1:9">
      <c r="A101" s="283">
        <v>45090</v>
      </c>
      <c r="B101" s="591">
        <v>20.347999999999999</v>
      </c>
      <c r="C101" s="591">
        <v>23.623999999999999</v>
      </c>
      <c r="D101" s="285">
        <v>21.53</v>
      </c>
      <c r="E101" s="285">
        <v>23.67</v>
      </c>
      <c r="F101" s="284">
        <v>-4.5199999999999997E-2</v>
      </c>
      <c r="G101" s="284">
        <v>1.6E-2</v>
      </c>
      <c r="H101" s="284">
        <v>808.47</v>
      </c>
      <c r="I101" s="284">
        <v>603.16</v>
      </c>
    </row>
    <row r="102" spans="1:9">
      <c r="B102" s="591">
        <f t="shared" si="0"/>
        <v>20.8262848</v>
      </c>
      <c r="C102" s="591">
        <f t="shared" si="1"/>
        <v>23.793023999999999</v>
      </c>
      <c r="D102" s="285">
        <f t="shared" ref="D102:D105" si="2">($G$2-G101)*$M$3+D101</f>
        <v>21.816400000000002</v>
      </c>
      <c r="E102" s="285">
        <f t="shared" ref="E102:E105" si="3">($F$2-F101)*$L$3+E101</f>
        <v>24.14912</v>
      </c>
      <c r="H102" s="164">
        <v>807.36199999999997</v>
      </c>
      <c r="I102" s="164">
        <v>602.37300000000005</v>
      </c>
    </row>
    <row r="103" spans="1:9">
      <c r="B103" s="591">
        <v>20.868500000000001</v>
      </c>
      <c r="C103" s="591">
        <v>23.814499999999999</v>
      </c>
      <c r="D103" s="285">
        <v>21.816400000000002</v>
      </c>
      <c r="E103" s="285">
        <v>24.149000000000001</v>
      </c>
      <c r="F103" s="164">
        <v>1.03E-2</v>
      </c>
      <c r="G103" s="164">
        <v>4.0000000000000002E-4</v>
      </c>
      <c r="H103" s="164">
        <v>807.31500000000005</v>
      </c>
      <c r="I103" s="164">
        <v>601.02700000000004</v>
      </c>
    </row>
    <row r="104" spans="1:9">
      <c r="B104" s="591">
        <f t="shared" si="0"/>
        <v>20.734952800000002</v>
      </c>
      <c r="C104" s="591">
        <f t="shared" si="1"/>
        <v>23.7992256</v>
      </c>
      <c r="D104" s="285">
        <f t="shared" si="2"/>
        <v>21.823560000000001</v>
      </c>
      <c r="E104" s="285">
        <f t="shared" si="3"/>
        <v>24.039820000000002</v>
      </c>
    </row>
    <row r="105" spans="1:9">
      <c r="A105" s="289">
        <v>45093</v>
      </c>
      <c r="B105" s="591">
        <v>20.7545</v>
      </c>
      <c r="C105" s="591">
        <v>23.813500000000001</v>
      </c>
      <c r="D105" s="285">
        <v>21.823599999999999</v>
      </c>
      <c r="E105" s="285">
        <f t="shared" si="3"/>
        <v>24.039820000000002</v>
      </c>
      <c r="F105" s="164">
        <v>-1.0800000000000001E-2</v>
      </c>
      <c r="G105" s="164">
        <v>1E-4</v>
      </c>
    </row>
    <row r="106" spans="1:9">
      <c r="B106" s="591">
        <f t="shared" si="0"/>
        <v>20.853559199999999</v>
      </c>
      <c r="C106" s="591">
        <f t="shared" si="1"/>
        <v>23.794681400000002</v>
      </c>
      <c r="D106" s="285">
        <f>($G$2-G105)*$M$3+D105</f>
        <v>21.825389999999999</v>
      </c>
      <c r="E106" s="285">
        <f>($F$2-F105)*$L$3+E105</f>
        <v>24.154300000000003</v>
      </c>
      <c r="H106" s="164">
        <v>807.62400000000002</v>
      </c>
      <c r="I106" s="164">
        <v>601.66</v>
      </c>
    </row>
    <row r="107" spans="1:9">
      <c r="B107" s="591">
        <f t="shared" si="0"/>
        <v>20.8335592</v>
      </c>
      <c r="C107" s="591">
        <f t="shared" si="1"/>
        <v>23.774681400000002</v>
      </c>
      <c r="D107" s="285">
        <f t="shared" ref="D107:D108" si="4">($G$2-G106)*$M$3+D106</f>
        <v>21.825389999999999</v>
      </c>
      <c r="E107" s="285">
        <f t="shared" ref="E107:E108" si="5">($F$2-F106)*$L$3+E106</f>
        <v>24.154300000000003</v>
      </c>
    </row>
    <row r="108" spans="1:9">
      <c r="B108" s="591">
        <f t="shared" si="0"/>
        <v>20.8135592</v>
      </c>
      <c r="C108" s="591">
        <f t="shared" si="1"/>
        <v>23.754681400000003</v>
      </c>
      <c r="D108" s="285">
        <f t="shared" si="4"/>
        <v>21.825389999999999</v>
      </c>
      <c r="E108" s="285">
        <f t="shared" si="5"/>
        <v>24.154300000000003</v>
      </c>
    </row>
    <row r="109" spans="1:9">
      <c r="B109" s="591">
        <f t="shared" si="0"/>
        <v>20.793559200000001</v>
      </c>
      <c r="C109" s="591">
        <f t="shared" si="1"/>
        <v>23.734681400000003</v>
      </c>
    </row>
    <row r="110" spans="1:9">
      <c r="B110" s="591">
        <f t="shared" si="0"/>
        <v>20.773559200000001</v>
      </c>
      <c r="C110" s="591">
        <f t="shared" si="1"/>
        <v>23.714681400000003</v>
      </c>
    </row>
    <row r="111" spans="1:9">
      <c r="A111" s="164" t="s">
        <v>384</v>
      </c>
      <c r="B111" s="591">
        <f t="shared" si="0"/>
        <v>20.753559200000002</v>
      </c>
      <c r="C111" s="591">
        <f t="shared" si="1"/>
        <v>23.694681400000004</v>
      </c>
    </row>
  </sheetData>
  <mergeCells count="6">
    <mergeCell ref="B1:C1"/>
    <mergeCell ref="D1:E1"/>
    <mergeCell ref="L1:M1"/>
    <mergeCell ref="B2:E2"/>
    <mergeCell ref="F24:G24"/>
    <mergeCell ref="B24:C24"/>
  </mergeCells>
  <conditionalFormatting sqref="H47:I47">
    <cfRule type="expression" dxfId="9" priority="6">
      <formula>OR(ISNUMBER(FIND("LED",$F47)))</formula>
    </cfRule>
  </conditionalFormatting>
  <conditionalFormatting sqref="H49:I49">
    <cfRule type="expression" dxfId="8" priority="3">
      <formula>OR(ISNUMBER(FIND("LED",$F49)))</formula>
    </cfRule>
  </conditionalFormatting>
  <conditionalFormatting sqref="N51:O51">
    <cfRule type="expression" dxfId="7" priority="5">
      <formula>OR(ISNUMBER(FIND("LED",$F51)))</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B7603F-28EF-46C2-9797-26D841FD5722}">
  <sheetPr>
    <tabColor rgb="FFE2EFDA"/>
  </sheetPr>
  <dimension ref="A1:N37"/>
  <sheetViews>
    <sheetView workbookViewId="0">
      <selection activeCell="B3" sqref="B3:C3"/>
    </sheetView>
  </sheetViews>
  <sheetFormatPr defaultColWidth="8.7109375" defaultRowHeight="14.45"/>
  <cols>
    <col min="1" max="1" width="10.42578125" bestFit="1" customWidth="1"/>
    <col min="2" max="3" width="9.28515625" bestFit="1" customWidth="1"/>
    <col min="13" max="13" width="85.42578125" customWidth="1"/>
  </cols>
  <sheetData>
    <row r="1" spans="1:14" ht="85.5" customHeight="1">
      <c r="A1" s="102" t="s">
        <v>0</v>
      </c>
      <c r="B1" s="279" t="s">
        <v>385</v>
      </c>
      <c r="C1" s="279" t="s">
        <v>386</v>
      </c>
      <c r="D1" s="279" t="s">
        <v>387</v>
      </c>
      <c r="E1" s="279" t="s">
        <v>19</v>
      </c>
      <c r="F1" s="279" t="s">
        <v>388</v>
      </c>
      <c r="G1" s="279" t="s">
        <v>389</v>
      </c>
      <c r="H1" s="35"/>
      <c r="I1" s="35"/>
      <c r="J1" s="133" t="s">
        <v>390</v>
      </c>
      <c r="K1" s="134" t="s">
        <v>391</v>
      </c>
      <c r="L1" s="35"/>
      <c r="M1" s="141" t="s">
        <v>392</v>
      </c>
      <c r="N1" s="106"/>
    </row>
    <row r="2" spans="1:14" ht="18">
      <c r="A2" s="108"/>
      <c r="B2" s="109">
        <f>'Position Log - Ball'!P263</f>
        <v>0.1072</v>
      </c>
      <c r="C2" s="109">
        <f>'Position Log - Ball'!Q263</f>
        <v>8.5199999999999998E-2</v>
      </c>
      <c r="D2" s="344">
        <f>'Position Log - Ball'!V263</f>
        <v>2.9999999999999997E-4</v>
      </c>
      <c r="E2" s="344">
        <f>'Position Log - Ball'!W263</f>
        <v>5.9999999999999995E-4</v>
      </c>
      <c r="F2" s="315">
        <f>'Position Log - Ball'!V261</f>
        <v>2.9999999999999997E-4</v>
      </c>
      <c r="G2" s="315">
        <f>'Position Log - Ball'!W261</f>
        <v>1E-4</v>
      </c>
      <c r="H2" s="315"/>
      <c r="I2" s="315"/>
      <c r="J2" s="135">
        <v>34.5</v>
      </c>
      <c r="K2" s="136">
        <v>0.60213899999999998</v>
      </c>
      <c r="L2" s="35"/>
      <c r="M2" s="106" t="s">
        <v>393</v>
      </c>
      <c r="N2" s="106"/>
    </row>
    <row r="3" spans="1:14" ht="18">
      <c r="A3" s="110" t="s">
        <v>394</v>
      </c>
      <c r="B3" s="131">
        <f>B2+(F2-D2)*COS($K$2)+(G2-E2)*SIN($K$2)</f>
        <v>0.10691679671339034</v>
      </c>
      <c r="C3" s="131">
        <f>C2-(F2-D2)*SIN($K$2)+(G2-E2)*COS($K$2)</f>
        <v>8.4787937021253437E-2</v>
      </c>
      <c r="D3" s="111"/>
      <c r="E3" s="111"/>
      <c r="F3" s="109"/>
      <c r="G3" s="109"/>
      <c r="H3" s="35"/>
      <c r="I3" s="35"/>
      <c r="J3" s="723" t="s">
        <v>395</v>
      </c>
      <c r="K3" s="724"/>
      <c r="L3" s="35" t="s">
        <v>363</v>
      </c>
      <c r="M3" s="106" t="s">
        <v>396</v>
      </c>
      <c r="N3" s="106" t="s">
        <v>363</v>
      </c>
    </row>
    <row r="4" spans="1:14" ht="18">
      <c r="A4" s="139"/>
      <c r="B4" s="112"/>
      <c r="C4" s="112"/>
      <c r="D4" s="112"/>
      <c r="E4" s="112"/>
      <c r="F4" s="112"/>
      <c r="G4" s="112"/>
      <c r="H4" s="35" t="s">
        <v>363</v>
      </c>
      <c r="I4" s="35" t="s">
        <v>363</v>
      </c>
      <c r="J4" s="35" t="s">
        <v>363</v>
      </c>
      <c r="K4" s="35" t="s">
        <v>363</v>
      </c>
      <c r="L4" s="35" t="s">
        <v>363</v>
      </c>
      <c r="M4" s="106" t="s">
        <v>397</v>
      </c>
      <c r="N4" s="106" t="s">
        <v>363</v>
      </c>
    </row>
    <row r="5" spans="1:14">
      <c r="A5" s="139"/>
      <c r="B5" s="112"/>
      <c r="C5" s="112"/>
      <c r="D5" s="112"/>
      <c r="E5" s="112"/>
      <c r="F5" s="112"/>
      <c r="G5" s="112"/>
      <c r="J5" s="35" t="s">
        <v>363</v>
      </c>
      <c r="K5" s="35" t="s">
        <v>363</v>
      </c>
      <c r="L5" s="35" t="s">
        <v>363</v>
      </c>
      <c r="M5" s="35" t="s">
        <v>363</v>
      </c>
      <c r="N5" s="35" t="s">
        <v>363</v>
      </c>
    </row>
    <row r="6" spans="1:14">
      <c r="A6" s="139"/>
      <c r="B6" s="112"/>
      <c r="C6" s="112"/>
      <c r="D6" s="112"/>
      <c r="E6" s="112"/>
      <c r="F6" s="112"/>
      <c r="G6" s="112"/>
      <c r="H6" s="35" t="s">
        <v>363</v>
      </c>
      <c r="I6" s="35" t="s">
        <v>363</v>
      </c>
      <c r="J6" s="35" t="s">
        <v>363</v>
      </c>
      <c r="K6" s="35" t="s">
        <v>363</v>
      </c>
      <c r="L6" s="35" t="s">
        <v>363</v>
      </c>
      <c r="M6" s="35" t="s">
        <v>363</v>
      </c>
      <c r="N6" s="35" t="s">
        <v>363</v>
      </c>
    </row>
    <row r="7" spans="1:14">
      <c r="A7" s="139"/>
      <c r="B7" s="112"/>
      <c r="C7" s="112"/>
      <c r="D7" s="112"/>
      <c r="E7" s="112"/>
      <c r="F7" s="112"/>
      <c r="G7" s="112"/>
      <c r="H7" s="35" t="s">
        <v>363</v>
      </c>
      <c r="I7" s="35" t="s">
        <v>363</v>
      </c>
      <c r="J7" s="35" t="s">
        <v>363</v>
      </c>
      <c r="K7" s="35" t="s">
        <v>363</v>
      </c>
      <c r="L7" s="35" t="s">
        <v>363</v>
      </c>
      <c r="M7" s="35" t="s">
        <v>363</v>
      </c>
      <c r="N7" s="35" t="s">
        <v>363</v>
      </c>
    </row>
    <row r="8" spans="1:14">
      <c r="A8" s="139"/>
      <c r="B8" s="112"/>
      <c r="C8" s="112"/>
      <c r="D8" s="112"/>
      <c r="E8" s="112"/>
      <c r="F8" s="112"/>
      <c r="G8" s="112"/>
      <c r="H8" s="35"/>
      <c r="I8" s="35"/>
      <c r="J8" s="35"/>
      <c r="K8" s="35"/>
      <c r="L8" s="35"/>
      <c r="M8" s="35"/>
      <c r="N8" s="35"/>
    </row>
    <row r="9" spans="1:14">
      <c r="A9" s="139"/>
      <c r="B9" s="112"/>
      <c r="C9" s="112"/>
      <c r="D9" s="112"/>
      <c r="E9" s="112"/>
      <c r="F9" s="112"/>
      <c r="G9" s="112"/>
      <c r="H9" s="35"/>
      <c r="I9" s="35"/>
      <c r="J9" s="35"/>
      <c r="K9" s="35"/>
      <c r="L9" s="35"/>
      <c r="M9" s="35"/>
      <c r="N9" s="35"/>
    </row>
    <row r="10" spans="1:14">
      <c r="A10" s="139"/>
      <c r="B10" s="112"/>
      <c r="C10" s="112"/>
      <c r="D10" s="112"/>
      <c r="E10" s="112"/>
      <c r="F10" s="112"/>
      <c r="G10" s="112"/>
      <c r="H10" s="35"/>
      <c r="I10" s="35"/>
      <c r="J10" s="35"/>
      <c r="K10" s="35"/>
      <c r="L10" s="35"/>
      <c r="M10" s="35"/>
      <c r="N10" s="35"/>
    </row>
    <row r="11" spans="1:14">
      <c r="A11" s="139"/>
      <c r="B11" s="112"/>
      <c r="C11" s="112"/>
      <c r="D11" s="112"/>
      <c r="E11" s="112"/>
      <c r="F11" s="112"/>
      <c r="G11" s="112"/>
      <c r="H11" s="35"/>
      <c r="I11" s="35"/>
      <c r="J11" s="35"/>
      <c r="K11" s="35"/>
      <c r="L11" s="35"/>
      <c r="M11" s="35"/>
      <c r="N11" s="35"/>
    </row>
    <row r="12" spans="1:14">
      <c r="A12" s="139"/>
      <c r="B12" s="112"/>
      <c r="C12" s="112"/>
      <c r="D12" s="112"/>
      <c r="E12" s="112"/>
      <c r="F12" s="112"/>
      <c r="G12" s="112"/>
      <c r="H12" s="35"/>
      <c r="I12" s="35"/>
      <c r="J12" s="35"/>
      <c r="K12" s="35"/>
      <c r="L12" s="35"/>
      <c r="M12" s="35"/>
      <c r="N12" s="35"/>
    </row>
    <row r="13" spans="1:14">
      <c r="A13" s="139"/>
      <c r="B13" s="112"/>
      <c r="C13" s="112"/>
      <c r="D13" s="112"/>
      <c r="E13" s="112"/>
      <c r="F13" s="112"/>
      <c r="G13" s="112"/>
      <c r="H13" s="35"/>
      <c r="I13" s="35"/>
      <c r="J13" s="35"/>
      <c r="K13" s="35"/>
      <c r="L13" s="35"/>
      <c r="M13" s="35"/>
      <c r="N13" s="35"/>
    </row>
    <row r="14" spans="1:14">
      <c r="A14" s="139"/>
      <c r="B14" s="112"/>
      <c r="C14" s="112"/>
      <c r="D14" s="112"/>
      <c r="E14" s="112"/>
      <c r="F14" s="112"/>
      <c r="G14" s="112"/>
      <c r="H14" s="35"/>
      <c r="I14" s="35"/>
      <c r="J14" s="35"/>
      <c r="K14" s="35"/>
      <c r="L14" s="35"/>
      <c r="M14" s="35"/>
      <c r="N14" s="35"/>
    </row>
    <row r="15" spans="1:14">
      <c r="A15" s="139"/>
      <c r="B15" s="112"/>
      <c r="C15" s="112"/>
      <c r="D15" s="112"/>
      <c r="E15" s="112"/>
      <c r="F15" s="112"/>
      <c r="G15" s="112"/>
      <c r="H15" s="35"/>
      <c r="I15" s="35"/>
      <c r="J15" s="35"/>
      <c r="K15" s="35"/>
      <c r="L15" s="35"/>
      <c r="M15" s="35"/>
      <c r="N15" s="35"/>
    </row>
    <row r="16" spans="1:14">
      <c r="A16" s="139"/>
      <c r="B16" s="112"/>
      <c r="C16" s="112"/>
      <c r="D16" s="112"/>
      <c r="E16" s="112"/>
      <c r="F16" s="4"/>
      <c r="G16" s="4"/>
      <c r="H16" s="35"/>
      <c r="I16" s="35"/>
      <c r="J16" s="35"/>
      <c r="K16" s="35"/>
      <c r="L16" s="35"/>
      <c r="M16" s="35"/>
      <c r="N16" s="35"/>
    </row>
    <row r="17" spans="1:14">
      <c r="A17" s="139"/>
      <c r="B17" s="112"/>
      <c r="C17" s="112"/>
      <c r="D17" s="112"/>
      <c r="E17" s="112"/>
      <c r="F17" s="112"/>
      <c r="G17" s="112"/>
      <c r="H17" s="35"/>
      <c r="I17" s="35"/>
      <c r="J17" s="35"/>
      <c r="K17" s="35"/>
      <c r="L17" s="35"/>
      <c r="M17" s="35"/>
      <c r="N17" s="35"/>
    </row>
    <row r="18" spans="1:14">
      <c r="A18" s="103"/>
      <c r="B18" s="112"/>
      <c r="C18" s="112"/>
      <c r="D18" s="112"/>
      <c r="E18" s="112"/>
      <c r="F18" s="4"/>
      <c r="G18" s="4"/>
      <c r="H18" s="35"/>
      <c r="I18" s="35"/>
      <c r="J18" s="35"/>
      <c r="K18" s="35"/>
      <c r="L18" s="35"/>
      <c r="M18" s="35"/>
      <c r="N18" s="35"/>
    </row>
    <row r="19" spans="1:14">
      <c r="A19" s="103"/>
      <c r="B19" s="112"/>
      <c r="C19" s="112"/>
      <c r="D19" s="112"/>
      <c r="E19" s="112"/>
      <c r="F19" s="112"/>
      <c r="G19" s="112"/>
      <c r="H19" s="35"/>
      <c r="I19" s="35"/>
      <c r="J19" s="35"/>
      <c r="K19" s="35"/>
      <c r="L19" s="35"/>
      <c r="M19" s="35"/>
      <c r="N19" s="35"/>
    </row>
    <row r="20" spans="1:14">
      <c r="A20" s="142"/>
      <c r="B20" s="112"/>
      <c r="C20" s="112"/>
      <c r="D20" s="112"/>
      <c r="E20" s="112"/>
      <c r="F20" s="4"/>
      <c r="G20" s="4"/>
      <c r="H20" s="35"/>
      <c r="I20" s="35"/>
      <c r="J20" s="35"/>
      <c r="K20" s="35"/>
      <c r="L20" s="35"/>
      <c r="M20" s="35"/>
      <c r="N20" s="35"/>
    </row>
    <row r="21" spans="1:14">
      <c r="A21" s="142"/>
      <c r="B21" s="112"/>
      <c r="C21" s="112"/>
      <c r="D21" s="112"/>
      <c r="E21" s="112"/>
      <c r="F21" s="112"/>
      <c r="G21" s="112"/>
      <c r="H21" s="35"/>
      <c r="I21" s="35"/>
      <c r="J21" s="35"/>
      <c r="K21" s="35"/>
      <c r="L21" s="35"/>
      <c r="M21" s="35"/>
      <c r="N21" s="35"/>
    </row>
    <row r="22" spans="1:14">
      <c r="A22" s="142"/>
      <c r="B22" s="112"/>
      <c r="C22" s="112"/>
      <c r="D22" s="112"/>
      <c r="E22" s="112"/>
      <c r="F22" s="12"/>
      <c r="G22" s="12"/>
      <c r="H22" s="35"/>
      <c r="I22" s="35"/>
      <c r="J22" s="35"/>
      <c r="K22" s="35"/>
      <c r="L22" s="35"/>
      <c r="M22" s="35"/>
      <c r="N22" s="35"/>
    </row>
    <row r="23" spans="1:14">
      <c r="A23" s="103" t="s">
        <v>363</v>
      </c>
      <c r="B23" s="112"/>
      <c r="C23" s="112"/>
      <c r="D23" s="112"/>
      <c r="E23" s="112"/>
      <c r="F23" s="112"/>
      <c r="G23" s="112"/>
      <c r="H23" s="35"/>
      <c r="I23" s="35"/>
      <c r="J23" s="35"/>
      <c r="K23" s="35"/>
      <c r="L23" s="35"/>
      <c r="M23" s="35"/>
      <c r="N23" s="35"/>
    </row>
    <row r="24" spans="1:14">
      <c r="A24" s="103" t="s">
        <v>363</v>
      </c>
      <c r="B24" s="112"/>
      <c r="C24" s="112"/>
      <c r="D24" s="112"/>
      <c r="E24" s="112"/>
      <c r="F24" s="112"/>
      <c r="G24" s="112"/>
      <c r="H24" s="35"/>
      <c r="I24" s="35"/>
      <c r="J24" s="35"/>
      <c r="K24" s="35"/>
      <c r="L24" s="35"/>
      <c r="M24" s="35"/>
      <c r="N24" s="35"/>
    </row>
    <row r="25" spans="1:14">
      <c r="A25" s="103" t="s">
        <v>363</v>
      </c>
      <c r="B25" s="112"/>
      <c r="C25" s="112"/>
      <c r="D25" s="112"/>
      <c r="E25" s="112"/>
      <c r="F25" s="112"/>
      <c r="G25" s="112"/>
      <c r="H25" s="35"/>
      <c r="I25" s="35"/>
      <c r="J25" s="35"/>
      <c r="K25" s="35"/>
      <c r="L25" s="35"/>
      <c r="M25" s="35"/>
      <c r="N25" s="35"/>
    </row>
    <row r="26" spans="1:14">
      <c r="A26" s="103" t="s">
        <v>363</v>
      </c>
      <c r="B26" s="112"/>
      <c r="C26" s="112"/>
      <c r="D26" s="112"/>
      <c r="E26" s="112"/>
      <c r="F26" s="112"/>
      <c r="G26" s="112"/>
      <c r="H26" s="35"/>
      <c r="I26" s="35"/>
      <c r="J26" s="35"/>
      <c r="K26" s="35"/>
      <c r="L26" s="35"/>
      <c r="M26" s="35"/>
      <c r="N26" s="35"/>
    </row>
    <row r="27" spans="1:14">
      <c r="A27" s="103" t="s">
        <v>363</v>
      </c>
      <c r="B27" s="112"/>
      <c r="C27" s="112"/>
      <c r="D27" s="112"/>
      <c r="E27" s="112"/>
      <c r="F27" s="112"/>
      <c r="G27" s="112"/>
      <c r="H27" s="35"/>
      <c r="I27" s="35"/>
      <c r="J27" s="35"/>
      <c r="K27" s="35"/>
      <c r="L27" s="35"/>
      <c r="M27" s="35"/>
      <c r="N27" s="35"/>
    </row>
    <row r="28" spans="1:14">
      <c r="A28" s="103" t="s">
        <v>363</v>
      </c>
      <c r="B28" s="112" t="s">
        <v>363</v>
      </c>
      <c r="C28" s="112" t="s">
        <v>363</v>
      </c>
      <c r="D28" s="112" t="s">
        <v>363</v>
      </c>
      <c r="E28" s="112" t="s">
        <v>363</v>
      </c>
      <c r="F28" s="112" t="s">
        <v>363</v>
      </c>
      <c r="G28" s="112" t="s">
        <v>363</v>
      </c>
      <c r="H28" s="35"/>
      <c r="I28" s="35"/>
      <c r="J28" s="35"/>
      <c r="K28" s="35"/>
      <c r="L28" s="35"/>
      <c r="M28" s="35"/>
      <c r="N28" s="35"/>
    </row>
    <row r="29" spans="1:14">
      <c r="A29" s="103" t="s">
        <v>363</v>
      </c>
      <c r="B29" s="112" t="s">
        <v>363</v>
      </c>
      <c r="C29" s="112" t="s">
        <v>363</v>
      </c>
      <c r="D29" s="112" t="s">
        <v>363</v>
      </c>
      <c r="E29" s="112" t="s">
        <v>363</v>
      </c>
      <c r="F29" s="112" t="s">
        <v>363</v>
      </c>
      <c r="G29" s="112" t="s">
        <v>363</v>
      </c>
      <c r="H29" s="35"/>
      <c r="I29" s="35"/>
      <c r="J29" s="35"/>
      <c r="K29" s="35"/>
      <c r="L29" s="35"/>
      <c r="M29" s="35"/>
      <c r="N29" s="35"/>
    </row>
    <row r="30" spans="1:14">
      <c r="A30" s="103" t="s">
        <v>363</v>
      </c>
      <c r="B30" s="112" t="s">
        <v>363</v>
      </c>
      <c r="C30" s="112" t="s">
        <v>363</v>
      </c>
      <c r="D30" s="112" t="s">
        <v>363</v>
      </c>
      <c r="E30" s="112" t="s">
        <v>363</v>
      </c>
      <c r="F30" s="112" t="s">
        <v>363</v>
      </c>
      <c r="G30" s="112" t="s">
        <v>363</v>
      </c>
      <c r="H30" s="35"/>
      <c r="I30" s="35"/>
      <c r="J30" s="35"/>
      <c r="K30" s="35"/>
      <c r="L30" s="35"/>
      <c r="M30" s="35"/>
      <c r="N30" s="35"/>
    </row>
    <row r="31" spans="1:14">
      <c r="A31" s="103" t="s">
        <v>363</v>
      </c>
      <c r="B31" s="112" t="s">
        <v>363</v>
      </c>
      <c r="C31" s="112" t="s">
        <v>363</v>
      </c>
      <c r="D31" s="112" t="s">
        <v>363</v>
      </c>
      <c r="E31" s="112" t="s">
        <v>363</v>
      </c>
      <c r="F31" s="112" t="s">
        <v>363</v>
      </c>
      <c r="G31" s="112" t="s">
        <v>363</v>
      </c>
      <c r="H31" s="35"/>
      <c r="I31" s="35"/>
      <c r="J31" s="35"/>
      <c r="K31" s="35"/>
      <c r="L31" s="35"/>
      <c r="M31" s="35"/>
      <c r="N31" s="35"/>
    </row>
    <row r="32" spans="1:14">
      <c r="A32" s="103" t="s">
        <v>363</v>
      </c>
      <c r="B32" s="112" t="s">
        <v>363</v>
      </c>
      <c r="C32" s="112" t="s">
        <v>363</v>
      </c>
      <c r="D32" s="112" t="s">
        <v>363</v>
      </c>
      <c r="E32" s="112" t="s">
        <v>363</v>
      </c>
      <c r="F32" s="112" t="s">
        <v>363</v>
      </c>
      <c r="G32" s="112" t="s">
        <v>363</v>
      </c>
      <c r="H32" s="35"/>
      <c r="I32" s="35"/>
      <c r="J32" s="35"/>
      <c r="K32" s="35"/>
      <c r="L32" s="35"/>
      <c r="M32" s="35"/>
      <c r="N32" s="35"/>
    </row>
    <row r="33" spans="1:14">
      <c r="A33" s="103" t="s">
        <v>363</v>
      </c>
      <c r="B33" s="112" t="s">
        <v>363</v>
      </c>
      <c r="C33" s="112" t="s">
        <v>363</v>
      </c>
      <c r="D33" s="112" t="s">
        <v>363</v>
      </c>
      <c r="E33" s="112" t="s">
        <v>363</v>
      </c>
      <c r="F33" s="112" t="s">
        <v>363</v>
      </c>
      <c r="G33" s="112" t="s">
        <v>363</v>
      </c>
      <c r="H33" s="35"/>
      <c r="I33" s="35"/>
      <c r="J33" s="35"/>
      <c r="K33" s="35"/>
      <c r="L33" s="35"/>
      <c r="M33" s="35"/>
      <c r="N33" s="35"/>
    </row>
    <row r="34" spans="1:14">
      <c r="A34" s="103" t="s">
        <v>363</v>
      </c>
      <c r="B34" s="112" t="s">
        <v>363</v>
      </c>
      <c r="C34" s="112" t="s">
        <v>363</v>
      </c>
      <c r="D34" s="112" t="s">
        <v>363</v>
      </c>
      <c r="E34" s="112" t="s">
        <v>363</v>
      </c>
      <c r="F34" s="112" t="s">
        <v>363</v>
      </c>
      <c r="G34" s="112" t="s">
        <v>363</v>
      </c>
    </row>
    <row r="35" spans="1:14">
      <c r="A35" s="103" t="s">
        <v>363</v>
      </c>
      <c r="B35" s="112" t="s">
        <v>363</v>
      </c>
      <c r="C35" s="112" t="s">
        <v>363</v>
      </c>
      <c r="D35" s="112" t="s">
        <v>363</v>
      </c>
      <c r="E35" s="112" t="s">
        <v>363</v>
      </c>
      <c r="F35" s="112" t="s">
        <v>363</v>
      </c>
      <c r="G35" s="112" t="s">
        <v>363</v>
      </c>
    </row>
    <row r="36" spans="1:14">
      <c r="A36" s="103" t="s">
        <v>363</v>
      </c>
      <c r="B36" s="112" t="s">
        <v>363</v>
      </c>
      <c r="C36" s="112" t="s">
        <v>363</v>
      </c>
      <c r="D36" s="112" t="s">
        <v>363</v>
      </c>
      <c r="E36" s="112" t="s">
        <v>363</v>
      </c>
      <c r="F36" s="112" t="s">
        <v>363</v>
      </c>
      <c r="G36" s="112" t="s">
        <v>363</v>
      </c>
    </row>
    <row r="37" spans="1:14">
      <c r="A37" s="103" t="s">
        <v>363</v>
      </c>
      <c r="B37" s="112" t="s">
        <v>363</v>
      </c>
      <c r="C37" s="112" t="s">
        <v>363</v>
      </c>
      <c r="D37" s="112" t="s">
        <v>363</v>
      </c>
      <c r="E37" s="112" t="s">
        <v>363</v>
      </c>
      <c r="F37" s="112" t="s">
        <v>363</v>
      </c>
      <c r="G37" s="112" t="s">
        <v>363</v>
      </c>
    </row>
  </sheetData>
  <mergeCells count="1">
    <mergeCell ref="J3:K3"/>
  </mergeCells>
  <conditionalFormatting sqref="D2:I2">
    <cfRule type="expression" dxfId="6" priority="3">
      <formula>OR(ISNUMBER(FIND("mirror",$F2)))</formula>
    </cfRule>
  </conditionalFormatting>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8FC582-DFE5-4D93-9518-CCE2CE2D7DAB}">
  <sheetPr>
    <tabColor rgb="FFE2EFDA"/>
  </sheetPr>
  <dimension ref="A1:M33"/>
  <sheetViews>
    <sheetView workbookViewId="0">
      <pane ySplit="1" topLeftCell="A4" activePane="bottomLeft" state="frozen"/>
      <selection pane="bottomLeft" activeCell="F11" sqref="F11:G11"/>
    </sheetView>
  </sheetViews>
  <sheetFormatPr defaultColWidth="8.7109375" defaultRowHeight="14.45"/>
  <cols>
    <col min="1" max="1" width="10.42578125" bestFit="1" customWidth="1"/>
    <col min="2" max="2" width="9.28515625" bestFit="1" customWidth="1"/>
    <col min="13" max="13" width="90.42578125" customWidth="1"/>
  </cols>
  <sheetData>
    <row r="1" spans="1:13" ht="86.25" customHeight="1">
      <c r="A1" s="102" t="s">
        <v>0</v>
      </c>
      <c r="B1" s="279" t="s">
        <v>398</v>
      </c>
      <c r="C1" s="279" t="s">
        <v>399</v>
      </c>
      <c r="D1" s="279" t="s">
        <v>400</v>
      </c>
      <c r="E1" s="279" t="s">
        <v>401</v>
      </c>
      <c r="F1" s="279" t="s">
        <v>402</v>
      </c>
      <c r="G1" s="279" t="s">
        <v>403</v>
      </c>
      <c r="H1" s="35"/>
      <c r="I1" s="35"/>
      <c r="J1" s="133" t="s">
        <v>390</v>
      </c>
      <c r="K1" s="137" t="s">
        <v>391</v>
      </c>
      <c r="L1" s="134" t="s">
        <v>404</v>
      </c>
      <c r="M1" s="141" t="s">
        <v>405</v>
      </c>
    </row>
    <row r="2" spans="1:13" ht="18">
      <c r="A2" s="108"/>
      <c r="B2" s="109">
        <v>0</v>
      </c>
      <c r="C2" s="109">
        <v>0</v>
      </c>
      <c r="D2" s="552">
        <f>'Position Log - Ball'!X248</f>
        <v>808.8</v>
      </c>
      <c r="E2" s="552">
        <f>'Position Log - Ball'!Y248</f>
        <v>599.6</v>
      </c>
      <c r="F2" s="109">
        <f>'Position Log - Ball'!X250</f>
        <v>808.8</v>
      </c>
      <c r="G2" s="109">
        <f>'Position Log - Ball'!Y250</f>
        <v>599.9</v>
      </c>
      <c r="H2" s="35"/>
      <c r="I2" s="35"/>
      <c r="J2" s="135">
        <v>34.5</v>
      </c>
      <c r="K2" s="138">
        <v>0.60213899999999998</v>
      </c>
      <c r="L2" s="136">
        <v>20.9</v>
      </c>
      <c r="M2" s="106" t="s">
        <v>406</v>
      </c>
    </row>
    <row r="3" spans="1:13" ht="18">
      <c r="A3" s="110" t="s">
        <v>407</v>
      </c>
      <c r="B3" s="111">
        <f>((F2-D2)*COS($K$2)-(G2-E2)*SIN($K$2))/$L$2</f>
        <v>-8.1302378930992042E-3</v>
      </c>
      <c r="C3" s="111">
        <f>(-(F2-D2)*SIN($K$2)-(G2-E2)*COS($K$2))/$L$2</f>
        <v>-1.18295591984639E-2</v>
      </c>
      <c r="D3" s="111"/>
      <c r="E3" s="111"/>
      <c r="F3" s="109"/>
      <c r="G3" s="109"/>
      <c r="H3" s="35"/>
      <c r="I3" s="35"/>
      <c r="J3" s="723" t="s">
        <v>408</v>
      </c>
      <c r="K3" s="725"/>
      <c r="L3" s="724"/>
      <c r="M3" s="106" t="s">
        <v>409</v>
      </c>
    </row>
    <row r="4" spans="1:13" ht="18">
      <c r="A4" s="107"/>
      <c r="B4" s="111">
        <f t="shared" ref="B4:B7" si="0">((F3-D3)*COS($K$2)-(G3-E3)*SIN($K$2))/$L$2</f>
        <v>0</v>
      </c>
      <c r="C4" s="111">
        <f t="shared" ref="C4:C7" si="1">(-(F3-D3)*SIN($K$2)-(G3-E3)*COS($K$2))/$L$2</f>
        <v>0</v>
      </c>
      <c r="D4" s="109">
        <v>813.28200000000004</v>
      </c>
      <c r="E4" s="109">
        <v>597.99900000000002</v>
      </c>
      <c r="F4" s="109">
        <v>814.58399999999995</v>
      </c>
      <c r="G4" s="109">
        <v>597.53</v>
      </c>
      <c r="H4" s="35"/>
      <c r="I4" s="35"/>
      <c r="J4" s="35" t="s">
        <v>363</v>
      </c>
      <c r="K4" s="35" t="s">
        <v>363</v>
      </c>
      <c r="L4" s="35" t="s">
        <v>363</v>
      </c>
      <c r="M4" s="106" t="s">
        <v>410</v>
      </c>
    </row>
    <row r="5" spans="1:13">
      <c r="A5" s="110"/>
      <c r="B5" s="111">
        <f t="shared" si="0"/>
        <v>6.405055882755252E-2</v>
      </c>
      <c r="C5" s="111">
        <f t="shared" si="1"/>
        <v>-1.6791688242450007E-2</v>
      </c>
      <c r="D5" s="111"/>
      <c r="E5" s="111"/>
      <c r="F5" s="111"/>
      <c r="G5" s="111"/>
      <c r="H5" s="35" t="s">
        <v>363</v>
      </c>
      <c r="I5" s="35" t="s">
        <v>363</v>
      </c>
      <c r="J5" s="35" t="s">
        <v>363</v>
      </c>
      <c r="K5" s="35" t="s">
        <v>363</v>
      </c>
      <c r="L5" s="35" t="s">
        <v>363</v>
      </c>
      <c r="M5" s="35" t="s">
        <v>363</v>
      </c>
    </row>
    <row r="6" spans="1:13">
      <c r="A6" s="108"/>
      <c r="B6" s="111">
        <f t="shared" si="0"/>
        <v>0</v>
      </c>
      <c r="C6" s="111">
        <f t="shared" si="1"/>
        <v>0</v>
      </c>
      <c r="D6" s="109">
        <v>824.15200000000004</v>
      </c>
      <c r="E6" s="109">
        <v>590.625</v>
      </c>
      <c r="F6" s="109">
        <v>814.58399999999995</v>
      </c>
      <c r="G6" s="109">
        <v>597.53</v>
      </c>
      <c r="H6" s="35" t="s">
        <v>363</v>
      </c>
      <c r="I6" s="35" t="s">
        <v>363</v>
      </c>
      <c r="J6" s="35" t="s">
        <v>363</v>
      </c>
      <c r="K6" s="35" t="s">
        <v>363</v>
      </c>
      <c r="L6" s="35" t="s">
        <v>363</v>
      </c>
      <c r="M6" s="35" t="s">
        <v>363</v>
      </c>
    </row>
    <row r="7" spans="1:13">
      <c r="A7" s="139"/>
      <c r="B7" s="111">
        <f t="shared" si="0"/>
        <v>-0.56441505020926397</v>
      </c>
      <c r="C7" s="111">
        <f t="shared" si="1"/>
        <v>-1.2976633680731719E-2</v>
      </c>
      <c r="D7" s="112"/>
      <c r="E7" s="112"/>
      <c r="F7" s="112"/>
      <c r="G7" s="112"/>
      <c r="H7" s="35" t="s">
        <v>363</v>
      </c>
      <c r="I7" s="35" t="s">
        <v>363</v>
      </c>
      <c r="J7" s="35" t="s">
        <v>363</v>
      </c>
      <c r="K7" s="35" t="s">
        <v>363</v>
      </c>
      <c r="L7" s="35" t="s">
        <v>363</v>
      </c>
      <c r="M7" s="35" t="s">
        <v>363</v>
      </c>
    </row>
    <row r="8" spans="1:13" ht="15">
      <c r="A8" s="139"/>
      <c r="B8" s="677">
        <v>0</v>
      </c>
      <c r="C8" s="677">
        <v>0</v>
      </c>
      <c r="D8" s="112">
        <v>818.57399999999996</v>
      </c>
      <c r="E8" s="112">
        <v>608.03099999999995</v>
      </c>
      <c r="F8" s="112">
        <v>812.68100000000004</v>
      </c>
      <c r="G8" s="112">
        <v>597.66200000000003</v>
      </c>
      <c r="H8" s="35"/>
      <c r="K8" s="35"/>
      <c r="L8" s="35"/>
      <c r="M8" s="35"/>
    </row>
    <row r="9" spans="1:13" ht="15">
      <c r="A9" s="139"/>
      <c r="B9" s="677">
        <f>((F8-D8)*COS($K$2)-(G8-E8)*SIN($K$2))/$L$2</f>
        <v>4.8636147856668061E-2</v>
      </c>
      <c r="C9" s="677">
        <f>(-(F8-D8)*SIN($K$2)-(G8-E8)*COS($K$2))/$L$2</f>
        <v>0.56857397077643312</v>
      </c>
      <c r="D9" s="112"/>
      <c r="E9" s="112"/>
      <c r="F9" s="112">
        <v>812.20100000000002</v>
      </c>
      <c r="G9" s="112">
        <v>598.029</v>
      </c>
      <c r="H9" s="35"/>
      <c r="K9" s="35"/>
      <c r="L9" s="35"/>
      <c r="M9" s="35"/>
    </row>
    <row r="10" spans="1:13" ht="15">
      <c r="A10" s="139"/>
      <c r="B10" s="677">
        <f>((F9-D9)*COS($K$2)-(G9-E9)*SIN($K$2))/$L$2</f>
        <v>15.819539245266913</v>
      </c>
      <c r="C10" s="677">
        <f>(-(F9-D9)*SIN($K$2)-(G9-E9)*COS($K$2))/$L$2</f>
        <v>-45.59268934971103</v>
      </c>
      <c r="D10" s="112"/>
      <c r="E10" s="112"/>
      <c r="F10" s="112"/>
      <c r="G10" s="112"/>
      <c r="H10" s="35"/>
      <c r="I10" s="35"/>
      <c r="J10" s="35"/>
      <c r="K10" s="35"/>
      <c r="L10" s="35"/>
      <c r="M10" s="35"/>
    </row>
    <row r="11" spans="1:13" ht="15">
      <c r="A11" s="139">
        <v>45093</v>
      </c>
      <c r="B11" s="677">
        <f>((F10-D10)*COS($K$2)-(G10-E10)*SIN($K$2))/$L$2</f>
        <v>0</v>
      </c>
      <c r="C11" s="677">
        <f>(-(F10-D10)*SIN($K$2)-(G10-E10)*COS($K$2))/$L$2</f>
        <v>0</v>
      </c>
      <c r="D11" s="112">
        <v>805.02099999999996</v>
      </c>
      <c r="E11" s="112">
        <v>590.69200000000001</v>
      </c>
      <c r="F11" s="112">
        <v>809.54600000000005</v>
      </c>
      <c r="G11" s="112">
        <v>599.68200000000002</v>
      </c>
      <c r="H11" s="35"/>
      <c r="I11" s="35"/>
      <c r="J11" s="35"/>
      <c r="K11" s="35"/>
      <c r="L11" s="35"/>
      <c r="M11" s="35"/>
    </row>
    <row r="12" spans="1:13" ht="15">
      <c r="A12" s="139"/>
      <c r="B12" s="677">
        <f>((F11-D11)*COS($K$2)-(G11-E11)*SIN($K$2))/$L$2</f>
        <v>-6.5206944286382212E-2</v>
      </c>
      <c r="C12" s="677">
        <f>(-(F11-D11)*SIN($K$2)-(G11-E11)*COS($K$2))/$L$2</f>
        <v>-0.47712354553495634</v>
      </c>
      <c r="D12" s="112"/>
      <c r="E12" s="112"/>
      <c r="F12" s="112"/>
      <c r="G12" s="112"/>
      <c r="H12" s="35"/>
      <c r="I12" s="35"/>
      <c r="J12" s="35"/>
      <c r="K12" s="35"/>
      <c r="L12" s="35"/>
      <c r="M12" s="35"/>
    </row>
    <row r="13" spans="1:13">
      <c r="A13" s="139"/>
      <c r="B13" s="112"/>
      <c r="C13" s="112"/>
      <c r="D13" s="112"/>
      <c r="E13" s="112"/>
      <c r="F13" s="112"/>
      <c r="G13" s="112"/>
      <c r="H13" s="35"/>
      <c r="I13" s="35"/>
      <c r="J13" s="35"/>
      <c r="K13" s="35"/>
      <c r="L13" s="35"/>
      <c r="M13" s="35"/>
    </row>
    <row r="14" spans="1:13">
      <c r="A14" s="139"/>
      <c r="B14" s="112"/>
      <c r="C14" s="112"/>
      <c r="D14" s="112"/>
      <c r="E14" s="112"/>
      <c r="F14" s="112"/>
      <c r="G14" s="112"/>
      <c r="H14" s="35"/>
      <c r="I14" s="35"/>
      <c r="J14" s="35"/>
      <c r="K14" s="35"/>
      <c r="L14" s="35"/>
      <c r="M14" s="35"/>
    </row>
    <row r="15" spans="1:13">
      <c r="A15" s="139"/>
      <c r="B15" s="112"/>
      <c r="C15" s="112"/>
      <c r="D15" s="112"/>
      <c r="E15" s="112"/>
      <c r="F15" s="112"/>
      <c r="G15" s="112"/>
      <c r="H15" s="35"/>
      <c r="I15" s="35"/>
      <c r="J15" s="35"/>
      <c r="K15" s="35"/>
      <c r="L15" s="35"/>
      <c r="M15" s="35"/>
    </row>
    <row r="16" spans="1:13">
      <c r="A16" s="139"/>
      <c r="B16" s="112"/>
      <c r="C16" s="112"/>
      <c r="D16" s="112"/>
      <c r="E16" s="112"/>
      <c r="F16" s="112"/>
      <c r="G16" s="112"/>
      <c r="H16" s="35"/>
      <c r="I16" s="35"/>
      <c r="J16" s="35"/>
      <c r="K16" s="35"/>
      <c r="L16" s="35"/>
      <c r="M16" s="35"/>
    </row>
    <row r="17" spans="1:13">
      <c r="A17" s="139"/>
      <c r="B17" s="112"/>
      <c r="C17" s="112"/>
      <c r="D17" s="112"/>
      <c r="E17" s="112"/>
      <c r="F17" s="112"/>
      <c r="G17" s="112"/>
      <c r="H17" s="35"/>
      <c r="I17" s="35"/>
      <c r="J17" s="35"/>
      <c r="K17" s="35"/>
      <c r="L17" s="35"/>
      <c r="M17" s="35"/>
    </row>
    <row r="18" spans="1:13">
      <c r="A18" s="139"/>
      <c r="B18" s="112"/>
      <c r="C18" s="112"/>
      <c r="D18" s="112"/>
      <c r="E18" s="112"/>
      <c r="F18" s="112"/>
      <c r="G18" s="112"/>
      <c r="H18" s="35"/>
      <c r="I18" s="35"/>
      <c r="J18" s="35"/>
      <c r="K18" s="35"/>
      <c r="L18" s="35"/>
      <c r="M18" s="35"/>
    </row>
    <row r="19" spans="1:13">
      <c r="A19" s="139"/>
      <c r="B19" s="112"/>
      <c r="C19" s="112"/>
      <c r="D19" s="112"/>
      <c r="E19" s="112"/>
      <c r="F19" s="112"/>
      <c r="G19" s="112"/>
      <c r="H19" s="35"/>
      <c r="I19" s="35"/>
      <c r="J19" s="35"/>
      <c r="K19" s="35"/>
      <c r="L19" s="35"/>
      <c r="M19" s="35"/>
    </row>
    <row r="20" spans="1:13">
      <c r="A20" s="139"/>
      <c r="B20" s="112"/>
      <c r="C20" s="112"/>
      <c r="D20" s="112"/>
      <c r="E20" s="112"/>
      <c r="F20" s="112"/>
      <c r="G20" s="112"/>
      <c r="H20" s="35"/>
      <c r="I20" s="35"/>
      <c r="J20" s="35"/>
      <c r="K20" s="35"/>
      <c r="L20" s="35"/>
      <c r="M20" s="35"/>
    </row>
    <row r="21" spans="1:13">
      <c r="A21" s="139"/>
      <c r="B21" s="112"/>
      <c r="C21" s="112"/>
      <c r="D21" s="112"/>
      <c r="E21" s="112"/>
      <c r="F21" s="112"/>
      <c r="G21" s="112"/>
      <c r="H21" s="35"/>
      <c r="I21" s="35"/>
      <c r="J21" s="35"/>
      <c r="K21" s="35"/>
      <c r="L21" s="35"/>
      <c r="M21" s="35"/>
    </row>
    <row r="22" spans="1:13">
      <c r="A22" s="103"/>
      <c r="B22" s="111"/>
      <c r="C22" s="111"/>
      <c r="D22" s="112"/>
      <c r="E22" s="112"/>
      <c r="F22" s="140"/>
      <c r="G22" s="140"/>
      <c r="H22" s="35"/>
      <c r="I22" s="35"/>
      <c r="J22" s="35"/>
      <c r="K22" s="35"/>
      <c r="L22" s="35"/>
      <c r="M22" s="35"/>
    </row>
    <row r="23" spans="1:13">
      <c r="A23" s="103"/>
      <c r="B23" s="111"/>
      <c r="C23" s="111"/>
      <c r="D23" s="112"/>
      <c r="E23" s="112"/>
      <c r="F23" s="140"/>
      <c r="G23" s="140"/>
      <c r="H23" s="35"/>
      <c r="I23" s="35"/>
      <c r="J23" s="35"/>
      <c r="K23" s="35"/>
      <c r="L23" s="35"/>
      <c r="M23" s="35"/>
    </row>
    <row r="24" spans="1:13">
      <c r="A24" s="103"/>
      <c r="B24" s="111"/>
      <c r="C24" s="111"/>
      <c r="D24" s="112"/>
      <c r="E24" s="112"/>
      <c r="F24" s="140"/>
      <c r="G24" s="140"/>
      <c r="H24" s="35"/>
      <c r="I24" s="35"/>
      <c r="J24" s="35"/>
      <c r="K24" s="35"/>
      <c r="L24" s="35"/>
      <c r="M24" s="35"/>
    </row>
    <row r="25" spans="1:13">
      <c r="A25" s="103"/>
      <c r="B25" s="111"/>
      <c r="C25" s="111"/>
      <c r="D25" s="112"/>
      <c r="E25" s="112"/>
      <c r="F25" s="140"/>
      <c r="G25" s="140"/>
      <c r="H25" s="35"/>
      <c r="I25" s="35"/>
      <c r="J25" s="35"/>
      <c r="K25" s="35"/>
      <c r="L25" s="35"/>
      <c r="M25" s="35"/>
    </row>
    <row r="26" spans="1:13">
      <c r="A26" s="103"/>
      <c r="B26" s="111"/>
      <c r="C26" s="111"/>
      <c r="D26" s="112"/>
      <c r="E26" s="112"/>
      <c r="F26" s="140"/>
      <c r="G26" s="140"/>
      <c r="H26" s="35"/>
      <c r="I26" s="35"/>
      <c r="J26" s="35"/>
      <c r="K26" s="35"/>
      <c r="L26" s="35"/>
      <c r="M26" s="35"/>
    </row>
    <row r="27" spans="1:13">
      <c r="A27" s="142"/>
      <c r="B27" s="111"/>
      <c r="C27" s="111"/>
      <c r="D27" s="112"/>
      <c r="E27" s="112"/>
      <c r="F27" s="229"/>
      <c r="G27" s="229"/>
      <c r="H27" s="35"/>
      <c r="I27" s="35"/>
      <c r="J27" s="35"/>
      <c r="K27" s="35"/>
      <c r="L27" s="35"/>
      <c r="M27" s="35"/>
    </row>
    <row r="28" spans="1:13">
      <c r="A28" s="103"/>
      <c r="B28" s="111"/>
      <c r="C28" s="111"/>
      <c r="D28" s="112"/>
      <c r="E28" s="112"/>
      <c r="F28" s="112"/>
      <c r="G28" s="112"/>
      <c r="H28" s="35"/>
      <c r="I28" s="35"/>
      <c r="J28" s="35"/>
      <c r="K28" s="35"/>
      <c r="L28" s="35"/>
      <c r="M28" s="35"/>
    </row>
    <row r="29" spans="1:13">
      <c r="A29" s="142"/>
      <c r="B29" s="112"/>
      <c r="C29" s="112"/>
      <c r="D29" s="112"/>
      <c r="E29" s="112"/>
      <c r="F29" s="112"/>
      <c r="G29" s="112"/>
      <c r="H29" s="35"/>
      <c r="I29" s="35"/>
      <c r="J29" s="35"/>
      <c r="K29" s="35"/>
      <c r="L29" s="35"/>
      <c r="M29" s="35"/>
    </row>
    <row r="30" spans="1:13">
      <c r="A30" s="314"/>
      <c r="B30" s="111"/>
      <c r="C30" s="111"/>
      <c r="D30" s="112"/>
      <c r="E30" s="112"/>
      <c r="F30" s="112"/>
      <c r="G30" s="112"/>
      <c r="H30" s="35"/>
      <c r="I30" s="35"/>
      <c r="J30" s="35"/>
      <c r="K30" s="35"/>
      <c r="L30" s="35"/>
      <c r="M30" s="35"/>
    </row>
    <row r="31" spans="1:13">
      <c r="A31" s="103"/>
      <c r="B31" s="112" t="s">
        <v>363</v>
      </c>
      <c r="C31" s="112" t="s">
        <v>363</v>
      </c>
      <c r="D31" s="112" t="s">
        <v>363</v>
      </c>
      <c r="E31" s="112" t="s">
        <v>363</v>
      </c>
      <c r="F31" s="112" t="s">
        <v>363</v>
      </c>
      <c r="G31" s="112" t="s">
        <v>363</v>
      </c>
      <c r="H31" s="35"/>
      <c r="I31" s="35"/>
      <c r="J31" s="35"/>
      <c r="K31" s="35"/>
      <c r="L31" s="35"/>
      <c r="M31" s="35"/>
    </row>
    <row r="32" spans="1:13">
      <c r="A32" s="103"/>
      <c r="B32" s="112" t="s">
        <v>363</v>
      </c>
      <c r="C32" s="112" t="s">
        <v>363</v>
      </c>
      <c r="D32" s="112" t="s">
        <v>363</v>
      </c>
      <c r="E32" s="112" t="s">
        <v>363</v>
      </c>
      <c r="F32" s="112" t="s">
        <v>363</v>
      </c>
      <c r="G32" s="112" t="s">
        <v>363</v>
      </c>
      <c r="H32" s="35"/>
      <c r="I32" s="35"/>
      <c r="J32" s="35"/>
      <c r="K32" s="35"/>
      <c r="L32" s="35"/>
      <c r="M32" s="35"/>
    </row>
    <row r="33" spans="1:13">
      <c r="A33" s="103"/>
      <c r="B33" s="112" t="s">
        <v>363</v>
      </c>
      <c r="C33" s="112" t="s">
        <v>363</v>
      </c>
      <c r="D33" s="112" t="s">
        <v>363</v>
      </c>
      <c r="E33" s="112" t="s">
        <v>363</v>
      </c>
      <c r="F33" s="112" t="s">
        <v>363</v>
      </c>
      <c r="G33" s="112" t="s">
        <v>363</v>
      </c>
      <c r="H33" s="35"/>
      <c r="I33" s="35"/>
      <c r="J33" s="35"/>
      <c r="K33" s="35"/>
      <c r="L33" s="35"/>
      <c r="M33" s="35"/>
    </row>
  </sheetData>
  <mergeCells count="1">
    <mergeCell ref="J3:L3"/>
  </mergeCells>
  <conditionalFormatting sqref="D2:E2">
    <cfRule type="expression" dxfId="5" priority="2">
      <formula>OR(ISNUMBER(FIND("LED",$F2)))</formula>
    </cfRule>
  </conditionalFormatting>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DDEBF7"/>
  </sheetPr>
  <dimension ref="A1:AI754"/>
  <sheetViews>
    <sheetView zoomScaleNormal="100" workbookViewId="0">
      <pane xSplit="3" ySplit="2" topLeftCell="I742" activePane="bottomRight" state="frozen"/>
      <selection pane="bottomRight" activeCell="I743" sqref="I743"/>
      <selection pane="bottomLeft" activeCell="A3" sqref="A3"/>
      <selection pane="topRight" activeCell="D1" sqref="D1"/>
    </sheetView>
  </sheetViews>
  <sheetFormatPr defaultColWidth="8.7109375" defaultRowHeight="14.45"/>
  <cols>
    <col min="1" max="1" width="9.5703125" style="129" customWidth="1"/>
    <col min="2" max="2" width="7.42578125" style="129" bestFit="1" customWidth="1"/>
    <col min="3" max="3" width="15.140625" style="225" customWidth="1"/>
    <col min="4" max="18" width="8.7109375" style="129" customWidth="1"/>
    <col min="19" max="19" width="8.7109375" style="291" customWidth="1"/>
    <col min="20" max="25" width="8.7109375" style="129" customWidth="1"/>
    <col min="26" max="26" width="8.7109375" style="163" customWidth="1"/>
    <col min="27" max="29" width="8.7109375" style="164" customWidth="1"/>
    <col min="30" max="34" width="20.7109375" style="164" customWidth="1"/>
    <col min="35" max="16384" width="8.7109375" style="164"/>
  </cols>
  <sheetData>
    <row r="1" spans="1:34" s="143" customFormat="1" ht="30.75" customHeight="1">
      <c r="A1" s="694" t="s">
        <v>0</v>
      </c>
      <c r="B1" s="694" t="s">
        <v>411</v>
      </c>
      <c r="C1" s="261" t="s">
        <v>375</v>
      </c>
      <c r="D1" s="751" t="s">
        <v>6</v>
      </c>
      <c r="E1" s="751"/>
      <c r="F1" s="751" t="s">
        <v>7</v>
      </c>
      <c r="G1" s="751"/>
      <c r="H1" s="751" t="s">
        <v>8</v>
      </c>
      <c r="I1" s="751"/>
      <c r="J1" s="694" t="s">
        <v>412</v>
      </c>
      <c r="K1" s="694" t="s">
        <v>413</v>
      </c>
      <c r="L1" s="694" t="s">
        <v>414</v>
      </c>
      <c r="M1" s="694" t="s">
        <v>415</v>
      </c>
      <c r="N1" s="694" t="s">
        <v>416</v>
      </c>
      <c r="O1" s="694" t="s">
        <v>14</v>
      </c>
      <c r="P1" s="694" t="s">
        <v>417</v>
      </c>
      <c r="Q1" s="694" t="s">
        <v>15</v>
      </c>
      <c r="R1" s="694" t="s">
        <v>418</v>
      </c>
      <c r="S1" s="290" t="s">
        <v>17</v>
      </c>
      <c r="T1" s="694" t="s">
        <v>419</v>
      </c>
      <c r="U1" s="694" t="s">
        <v>420</v>
      </c>
      <c r="V1" s="694" t="s">
        <v>421</v>
      </c>
      <c r="W1" s="694" t="s">
        <v>422</v>
      </c>
      <c r="X1" s="694" t="s">
        <v>423</v>
      </c>
      <c r="Y1" s="694" t="s">
        <v>424</v>
      </c>
      <c r="Z1" s="148" t="s">
        <v>22</v>
      </c>
      <c r="AA1" s="694" t="s">
        <v>425</v>
      </c>
      <c r="AB1" s="149" t="s">
        <v>426</v>
      </c>
      <c r="AC1" s="149" t="s">
        <v>427</v>
      </c>
      <c r="AD1" s="149" t="s">
        <v>428</v>
      </c>
      <c r="AE1" s="149" t="s">
        <v>429</v>
      </c>
      <c r="AF1" s="149" t="s">
        <v>430</v>
      </c>
      <c r="AG1" s="149" t="s">
        <v>431</v>
      </c>
      <c r="AH1" s="149" t="s">
        <v>432</v>
      </c>
    </row>
    <row r="2" spans="1:34" s="151" customFormat="1" ht="10.15">
      <c r="A2" s="115"/>
      <c r="B2" s="115"/>
      <c r="C2" s="700"/>
      <c r="D2" s="692" t="s">
        <v>433</v>
      </c>
      <c r="E2" s="692" t="s">
        <v>434</v>
      </c>
      <c r="F2" s="692" t="s">
        <v>433</v>
      </c>
      <c r="G2" s="692" t="s">
        <v>434</v>
      </c>
      <c r="H2" s="692" t="s">
        <v>433</v>
      </c>
      <c r="I2" s="692" t="s">
        <v>434</v>
      </c>
      <c r="J2" s="692"/>
      <c r="K2" s="692"/>
      <c r="L2" s="692"/>
      <c r="M2" s="692"/>
      <c r="N2" s="692"/>
      <c r="O2" s="692"/>
      <c r="P2" s="692"/>
      <c r="Q2" s="692"/>
      <c r="R2" s="692"/>
      <c r="S2" s="291" t="s">
        <v>435</v>
      </c>
      <c r="T2" s="115"/>
      <c r="U2" s="115"/>
      <c r="V2" s="115"/>
      <c r="W2" s="115"/>
      <c r="X2" s="115"/>
      <c r="Y2" s="115"/>
      <c r="Z2" s="150"/>
    </row>
    <row r="3" spans="1:34" s="151" customFormat="1" ht="10.15">
      <c r="A3" s="311" t="s">
        <v>436</v>
      </c>
      <c r="B3" s="152"/>
      <c r="C3" s="700" t="s">
        <v>437</v>
      </c>
      <c r="D3" s="692">
        <v>0</v>
      </c>
      <c r="E3" s="692">
        <v>0</v>
      </c>
      <c r="F3" s="692">
        <v>0</v>
      </c>
      <c r="G3" s="692">
        <v>0</v>
      </c>
      <c r="H3" s="692">
        <v>-3700</v>
      </c>
      <c r="I3" s="692">
        <v>5000</v>
      </c>
      <c r="J3" s="692"/>
      <c r="K3" s="692"/>
      <c r="L3" s="692"/>
      <c r="M3" s="692"/>
      <c r="N3" s="692"/>
      <c r="O3" s="692"/>
      <c r="P3" s="692"/>
      <c r="Q3" s="692"/>
      <c r="R3" s="692"/>
      <c r="S3" s="291"/>
      <c r="T3" s="115"/>
      <c r="U3" s="115"/>
      <c r="V3" s="115"/>
      <c r="W3" s="115"/>
      <c r="X3" s="115"/>
      <c r="Y3" s="115"/>
      <c r="Z3" s="150"/>
    </row>
    <row r="4" spans="1:34" s="155" customFormat="1" ht="10.15">
      <c r="A4" s="116"/>
      <c r="B4" s="116"/>
      <c r="C4" s="263" t="s">
        <v>438</v>
      </c>
      <c r="D4" s="153"/>
      <c r="E4" s="153"/>
      <c r="F4" s="153"/>
      <c r="G4" s="153"/>
      <c r="H4" s="153"/>
      <c r="I4" s="153"/>
      <c r="J4" s="153"/>
      <c r="K4" s="153"/>
      <c r="L4" s="153"/>
      <c r="M4" s="153"/>
      <c r="N4" s="153"/>
      <c r="O4" s="153"/>
      <c r="P4" s="153"/>
      <c r="Q4" s="153"/>
      <c r="R4" s="153"/>
      <c r="S4" s="292"/>
      <c r="T4" s="116"/>
      <c r="U4" s="116"/>
      <c r="V4" s="116"/>
      <c r="W4" s="116"/>
      <c r="X4" s="116"/>
      <c r="Y4" s="116"/>
      <c r="Z4" s="154"/>
    </row>
    <row r="5" spans="1:34" s="151" customFormat="1" ht="10.15">
      <c r="A5" s="152">
        <v>44820</v>
      </c>
      <c r="B5" s="152"/>
      <c r="C5" s="700" t="s">
        <v>437</v>
      </c>
      <c r="D5" s="692">
        <v>0</v>
      </c>
      <c r="E5" s="692">
        <v>0</v>
      </c>
      <c r="F5" s="692">
        <v>0</v>
      </c>
      <c r="G5" s="692">
        <v>0</v>
      </c>
      <c r="H5" s="692">
        <v>-600</v>
      </c>
      <c r="I5" s="692">
        <v>200</v>
      </c>
      <c r="J5" s="692"/>
      <c r="K5" s="692"/>
      <c r="L5" s="692"/>
      <c r="M5" s="692"/>
      <c r="N5" s="692"/>
      <c r="O5" s="692"/>
      <c r="P5" s="692"/>
      <c r="Q5" s="692">
        <v>31</v>
      </c>
      <c r="R5" s="692">
        <v>4.0315000000000003</v>
      </c>
      <c r="S5" s="291"/>
      <c r="T5" s="115"/>
      <c r="U5" s="115"/>
      <c r="V5" s="115"/>
      <c r="W5" s="115"/>
      <c r="X5" s="115"/>
      <c r="Y5" s="115"/>
      <c r="Z5" s="150"/>
    </row>
    <row r="6" spans="1:34" s="151" customFormat="1" ht="10.15">
      <c r="A6" s="152">
        <v>44820</v>
      </c>
      <c r="B6" s="152"/>
      <c r="C6" s="700" t="s">
        <v>439</v>
      </c>
      <c r="D6" s="692">
        <v>0</v>
      </c>
      <c r="E6" s="692">
        <v>0</v>
      </c>
      <c r="F6" s="692">
        <v>0</v>
      </c>
      <c r="G6" s="692">
        <v>0</v>
      </c>
      <c r="H6" s="692">
        <v>7000</v>
      </c>
      <c r="I6" s="692">
        <v>-8100</v>
      </c>
      <c r="J6" s="692"/>
      <c r="K6" s="692"/>
      <c r="L6" s="692"/>
      <c r="M6" s="692"/>
      <c r="N6" s="692"/>
      <c r="O6" s="692"/>
      <c r="P6" s="692"/>
      <c r="Q6" s="692">
        <v>31</v>
      </c>
      <c r="R6" s="692">
        <v>4.7625000000000002</v>
      </c>
      <c r="S6" s="291"/>
      <c r="T6" s="115"/>
      <c r="U6" s="115"/>
      <c r="V6" s="115"/>
      <c r="W6" s="115"/>
      <c r="X6" s="115"/>
      <c r="Y6" s="115"/>
      <c r="Z6" s="150"/>
    </row>
    <row r="7" spans="1:34" s="151" customFormat="1" ht="10.15">
      <c r="A7" s="152">
        <v>44820</v>
      </c>
      <c r="B7" s="152"/>
      <c r="C7" s="700" t="s">
        <v>440</v>
      </c>
      <c r="D7" s="692">
        <v>-2000</v>
      </c>
      <c r="E7" s="692"/>
      <c r="F7" s="692">
        <v>-500</v>
      </c>
      <c r="G7" s="692">
        <v>-700</v>
      </c>
      <c r="H7" s="692"/>
      <c r="I7" s="692"/>
      <c r="J7" s="692"/>
      <c r="K7" s="692"/>
      <c r="L7" s="692"/>
      <c r="M7" s="692"/>
      <c r="N7" s="692"/>
      <c r="O7" s="692" t="s">
        <v>441</v>
      </c>
      <c r="P7" s="692"/>
      <c r="Q7" s="692"/>
      <c r="R7" s="692"/>
      <c r="S7" s="291"/>
      <c r="T7" s="115"/>
      <c r="U7" s="115"/>
      <c r="V7" s="115"/>
      <c r="W7" s="115"/>
      <c r="X7" s="115"/>
      <c r="Y7" s="115"/>
      <c r="Z7" s="150"/>
    </row>
    <row r="8" spans="1:34" s="155" customFormat="1" ht="10.15">
      <c r="A8" s="116"/>
      <c r="B8" s="116"/>
      <c r="C8" s="263" t="s">
        <v>442</v>
      </c>
      <c r="D8" s="153"/>
      <c r="E8" s="153"/>
      <c r="F8" s="153"/>
      <c r="G8" s="153"/>
      <c r="H8" s="153"/>
      <c r="I8" s="153"/>
      <c r="J8" s="153"/>
      <c r="K8" s="153"/>
      <c r="L8" s="153"/>
      <c r="M8" s="153"/>
      <c r="N8" s="153"/>
      <c r="O8" s="153"/>
      <c r="P8" s="153"/>
      <c r="Q8" s="153"/>
      <c r="R8" s="153"/>
      <c r="S8" s="292"/>
      <c r="T8" s="116"/>
      <c r="U8" s="116"/>
      <c r="V8" s="116"/>
      <c r="W8" s="116"/>
      <c r="X8" s="116"/>
      <c r="Y8" s="116"/>
      <c r="Z8" s="154"/>
    </row>
    <row r="9" spans="1:34" s="151" customFormat="1" ht="10.15">
      <c r="A9" s="152">
        <v>44823</v>
      </c>
      <c r="B9" s="152"/>
      <c r="C9" s="700" t="s">
        <v>443</v>
      </c>
      <c r="D9" s="692"/>
      <c r="E9" s="692"/>
      <c r="F9" s="692">
        <v>7200</v>
      </c>
      <c r="G9" s="692">
        <v>3100</v>
      </c>
      <c r="H9" s="692"/>
      <c r="I9" s="692"/>
      <c r="J9" s="692"/>
      <c r="K9" s="692"/>
      <c r="L9" s="692"/>
      <c r="M9" s="692"/>
      <c r="N9" s="692"/>
      <c r="O9" s="692" t="s">
        <v>444</v>
      </c>
      <c r="P9" s="692"/>
      <c r="Q9" s="692">
        <v>40</v>
      </c>
      <c r="R9" s="692">
        <v>4.7625000000000002</v>
      </c>
      <c r="S9" s="291"/>
      <c r="T9" s="115"/>
      <c r="U9" s="115"/>
      <c r="V9" s="115"/>
      <c r="W9" s="115"/>
      <c r="X9" s="115"/>
      <c r="Y9" s="115"/>
      <c r="Z9" s="150"/>
    </row>
    <row r="10" spans="1:34" s="151" customFormat="1" ht="30.6">
      <c r="A10" s="152">
        <v>44823</v>
      </c>
      <c r="B10" s="152"/>
      <c r="C10" s="700" t="s">
        <v>445</v>
      </c>
      <c r="D10" s="692">
        <v>-2000</v>
      </c>
      <c r="E10" s="692"/>
      <c r="F10" s="692">
        <v>-500</v>
      </c>
      <c r="G10" s="692">
        <v>-700</v>
      </c>
      <c r="H10" s="692"/>
      <c r="I10" s="692"/>
      <c r="J10" s="692"/>
      <c r="K10" s="692"/>
      <c r="L10" s="692"/>
      <c r="M10" s="692"/>
      <c r="N10" s="692"/>
      <c r="O10" s="692" t="s">
        <v>67</v>
      </c>
      <c r="P10" s="692"/>
      <c r="Q10" s="692"/>
      <c r="R10" s="692"/>
      <c r="S10" s="291"/>
      <c r="T10" s="115"/>
      <c r="U10" s="115"/>
      <c r="V10" s="115"/>
      <c r="W10" s="115"/>
      <c r="X10" s="115"/>
      <c r="Y10" s="115"/>
      <c r="Z10" s="150"/>
    </row>
    <row r="11" spans="1:34" s="151" customFormat="1" ht="10.15">
      <c r="A11" s="152">
        <v>44824</v>
      </c>
      <c r="B11" s="152"/>
      <c r="C11" s="700" t="s">
        <v>446</v>
      </c>
      <c r="D11" s="692"/>
      <c r="E11" s="692"/>
      <c r="F11" s="692"/>
      <c r="G11" s="692"/>
      <c r="H11" s="692">
        <v>-4300</v>
      </c>
      <c r="I11" s="692">
        <v>5200</v>
      </c>
      <c r="J11" s="692"/>
      <c r="K11" s="692"/>
      <c r="L11" s="692"/>
      <c r="M11" s="692"/>
      <c r="N11" s="692"/>
      <c r="O11" s="692"/>
      <c r="P11" s="692"/>
      <c r="Q11" s="692">
        <v>31</v>
      </c>
      <c r="R11" s="692">
        <v>4.03</v>
      </c>
      <c r="S11" s="291"/>
      <c r="T11" s="115"/>
      <c r="U11" s="115"/>
      <c r="V11" s="115"/>
      <c r="W11" s="115"/>
      <c r="X11" s="115"/>
      <c r="Y11" s="115"/>
      <c r="Z11" s="150"/>
    </row>
    <row r="12" spans="1:34" s="151" customFormat="1" ht="10.15">
      <c r="A12" s="152">
        <v>44824</v>
      </c>
      <c r="B12" s="152"/>
      <c r="C12" s="700" t="s">
        <v>439</v>
      </c>
      <c r="D12" s="692"/>
      <c r="E12" s="692"/>
      <c r="F12" s="692"/>
      <c r="G12" s="692"/>
      <c r="H12" s="692">
        <v>3300</v>
      </c>
      <c r="I12" s="692">
        <v>-3100</v>
      </c>
      <c r="J12" s="692"/>
      <c r="K12" s="692"/>
      <c r="L12" s="692"/>
      <c r="M12" s="692"/>
      <c r="N12" s="692"/>
      <c r="O12" s="692"/>
      <c r="P12" s="692"/>
      <c r="Q12" s="692">
        <v>31</v>
      </c>
      <c r="R12" s="692">
        <v>4.7625000000000002</v>
      </c>
      <c r="S12" s="291"/>
      <c r="T12" s="115"/>
      <c r="U12" s="115"/>
      <c r="V12" s="115"/>
      <c r="W12" s="115"/>
      <c r="X12" s="115"/>
      <c r="Y12" s="115"/>
      <c r="Z12" s="150"/>
    </row>
    <row r="13" spans="1:34" s="151" customFormat="1" ht="10.15">
      <c r="A13" s="152">
        <v>44824</v>
      </c>
      <c r="B13" s="152"/>
      <c r="C13" s="700" t="s">
        <v>439</v>
      </c>
      <c r="D13" s="692"/>
      <c r="E13" s="692"/>
      <c r="F13" s="692"/>
      <c r="G13" s="692"/>
      <c r="H13" s="692">
        <v>3300</v>
      </c>
      <c r="I13" s="692">
        <v>-3100</v>
      </c>
      <c r="J13" s="692"/>
      <c r="K13" s="692"/>
      <c r="L13" s="692"/>
      <c r="M13" s="692"/>
      <c r="N13" s="692"/>
      <c r="O13" s="156" t="s">
        <v>447</v>
      </c>
      <c r="P13" s="692"/>
      <c r="Q13" s="692"/>
      <c r="R13" s="692"/>
      <c r="S13" s="291"/>
      <c r="T13" s="115"/>
      <c r="U13" s="115"/>
      <c r="V13" s="115"/>
      <c r="W13" s="115"/>
      <c r="X13" s="115"/>
      <c r="Y13" s="115"/>
      <c r="Z13" s="150"/>
    </row>
    <row r="14" spans="1:34" s="151" customFormat="1" ht="27.75" customHeight="1">
      <c r="A14" s="152">
        <v>44824</v>
      </c>
      <c r="B14" s="152"/>
      <c r="C14" s="700" t="s">
        <v>448</v>
      </c>
      <c r="D14" s="692">
        <v>20000</v>
      </c>
      <c r="E14" s="692">
        <v>4000</v>
      </c>
      <c r="F14" s="692">
        <v>4000</v>
      </c>
      <c r="G14" s="692">
        <v>20000</v>
      </c>
      <c r="H14" s="692">
        <v>3300</v>
      </c>
      <c r="I14" s="692">
        <v>-3100</v>
      </c>
      <c r="J14" s="692"/>
      <c r="K14" s="692"/>
      <c r="L14" s="692"/>
      <c r="M14" s="692"/>
      <c r="N14" s="692"/>
      <c r="O14" s="692" t="s">
        <v>449</v>
      </c>
      <c r="P14" s="692"/>
      <c r="Q14" s="692"/>
      <c r="R14" s="692"/>
      <c r="S14" s="291"/>
      <c r="T14" s="115"/>
      <c r="U14" s="115"/>
      <c r="V14" s="115"/>
      <c r="W14" s="115"/>
      <c r="X14" s="115"/>
      <c r="Y14" s="115"/>
      <c r="Z14" s="150"/>
    </row>
    <row r="15" spans="1:34" s="151" customFormat="1" ht="10.15">
      <c r="A15" s="152">
        <v>44824</v>
      </c>
      <c r="B15" s="152"/>
      <c r="C15" s="700"/>
      <c r="D15" s="692"/>
      <c r="E15" s="692"/>
      <c r="F15" s="692"/>
      <c r="G15" s="692"/>
      <c r="H15" s="692"/>
      <c r="I15" s="692"/>
      <c r="J15" s="692"/>
      <c r="K15" s="692"/>
      <c r="L15" s="692"/>
      <c r="M15" s="692"/>
      <c r="N15" s="692"/>
      <c r="O15" s="692"/>
      <c r="P15" s="692"/>
      <c r="Q15" s="692"/>
      <c r="R15" s="692"/>
      <c r="S15" s="291"/>
      <c r="T15" s="115"/>
      <c r="U15" s="115"/>
      <c r="V15" s="115"/>
      <c r="W15" s="115"/>
      <c r="X15" s="115"/>
      <c r="Y15" s="115"/>
      <c r="Z15" s="150"/>
    </row>
    <row r="16" spans="1:34" s="151" customFormat="1" ht="30.6">
      <c r="A16" s="152">
        <v>44824</v>
      </c>
      <c r="B16" s="152"/>
      <c r="C16" s="700" t="s">
        <v>450</v>
      </c>
      <c r="D16" s="692"/>
      <c r="E16" s="692"/>
      <c r="F16" s="692"/>
      <c r="G16" s="692"/>
      <c r="H16" s="692"/>
      <c r="I16" s="692"/>
      <c r="J16" s="692"/>
      <c r="K16" s="692"/>
      <c r="L16" s="692"/>
      <c r="M16" s="692"/>
      <c r="N16" s="692"/>
      <c r="O16" s="692" t="s">
        <v>68</v>
      </c>
      <c r="P16" s="692"/>
      <c r="Q16" s="692"/>
      <c r="R16" s="692"/>
      <c r="S16" s="291"/>
      <c r="T16" s="115"/>
      <c r="U16" s="115"/>
      <c r="V16" s="115"/>
      <c r="W16" s="115"/>
      <c r="X16" s="115"/>
      <c r="Y16" s="115"/>
      <c r="Z16" s="150"/>
    </row>
    <row r="17" spans="1:26" s="151" customFormat="1" ht="10.15">
      <c r="A17" s="152">
        <v>44824</v>
      </c>
      <c r="B17" s="152"/>
      <c r="C17" s="700" t="s">
        <v>451</v>
      </c>
      <c r="D17" s="692"/>
      <c r="E17" s="692"/>
      <c r="F17" s="692">
        <v>-9000</v>
      </c>
      <c r="G17" s="692">
        <v>-5000</v>
      </c>
      <c r="H17" s="692"/>
      <c r="I17" s="692"/>
      <c r="J17" s="692"/>
      <c r="K17" s="692"/>
      <c r="L17" s="692"/>
      <c r="M17" s="692"/>
      <c r="N17" s="692"/>
      <c r="O17" s="692" t="s">
        <v>54</v>
      </c>
      <c r="P17" s="692"/>
      <c r="Q17" s="692"/>
      <c r="R17" s="692"/>
      <c r="S17" s="291"/>
      <c r="T17" s="115"/>
      <c r="U17" s="115"/>
      <c r="V17" s="115"/>
      <c r="W17" s="115"/>
      <c r="X17" s="115"/>
      <c r="Y17" s="115"/>
      <c r="Z17" s="150"/>
    </row>
    <row r="18" spans="1:26" s="151" customFormat="1" ht="13.5" customHeight="1">
      <c r="A18" s="152">
        <v>44824</v>
      </c>
      <c r="B18" s="152"/>
      <c r="C18" s="700" t="s">
        <v>452</v>
      </c>
      <c r="D18" s="692"/>
      <c r="E18" s="692"/>
      <c r="F18" s="692">
        <v>-9000</v>
      </c>
      <c r="G18" s="692">
        <v>-5000</v>
      </c>
      <c r="H18" s="692"/>
      <c r="I18" s="692"/>
      <c r="J18" s="692"/>
      <c r="K18" s="692"/>
      <c r="L18" s="692"/>
      <c r="M18" s="692"/>
      <c r="N18" s="692"/>
      <c r="O18" s="692" t="s">
        <v>51</v>
      </c>
      <c r="P18" s="692"/>
      <c r="Q18" s="692"/>
      <c r="R18" s="692"/>
      <c r="S18" s="291"/>
      <c r="T18" s="115"/>
      <c r="U18" s="115"/>
      <c r="V18" s="115"/>
      <c r="W18" s="115"/>
      <c r="X18" s="115"/>
      <c r="Y18" s="115"/>
      <c r="Z18" s="150"/>
    </row>
    <row r="19" spans="1:26" s="151" customFormat="1" ht="30.6">
      <c r="A19" s="152">
        <v>44824</v>
      </c>
      <c r="B19" s="152"/>
      <c r="C19" s="700" t="s">
        <v>453</v>
      </c>
      <c r="D19" s="692">
        <v>20000</v>
      </c>
      <c r="E19" s="692">
        <v>4000</v>
      </c>
      <c r="F19" s="692">
        <v>4000</v>
      </c>
      <c r="G19" s="692">
        <v>20000</v>
      </c>
      <c r="H19" s="692"/>
      <c r="I19" s="692"/>
      <c r="J19" s="692"/>
      <c r="K19" s="692"/>
      <c r="L19" s="692"/>
      <c r="M19" s="692"/>
      <c r="N19" s="692"/>
      <c r="O19" s="692" t="s">
        <v>68</v>
      </c>
      <c r="P19" s="692"/>
      <c r="Q19" s="692"/>
      <c r="R19" s="692"/>
      <c r="S19" s="291"/>
      <c r="T19" s="115"/>
      <c r="U19" s="115"/>
      <c r="V19" s="115"/>
      <c r="W19" s="115"/>
      <c r="X19" s="115"/>
      <c r="Y19" s="115"/>
      <c r="Z19" s="150"/>
    </row>
    <row r="20" spans="1:26" s="151" customFormat="1" ht="20.45">
      <c r="A20" s="152">
        <v>44824</v>
      </c>
      <c r="B20" s="152"/>
      <c r="C20" s="700" t="s">
        <v>454</v>
      </c>
      <c r="D20" s="692">
        <v>0</v>
      </c>
      <c r="E20" s="692">
        <v>0</v>
      </c>
      <c r="F20" s="692">
        <v>0</v>
      </c>
      <c r="G20" s="692">
        <v>0</v>
      </c>
      <c r="H20" s="692"/>
      <c r="I20" s="692"/>
      <c r="J20" s="692"/>
      <c r="K20" s="692"/>
      <c r="L20" s="692"/>
      <c r="M20" s="692"/>
      <c r="N20" s="692"/>
      <c r="O20" s="692" t="s">
        <v>68</v>
      </c>
      <c r="P20" s="692"/>
      <c r="Q20" s="692"/>
      <c r="R20" s="692"/>
      <c r="S20" s="291"/>
      <c r="T20" s="115"/>
      <c r="U20" s="115"/>
      <c r="V20" s="115"/>
      <c r="W20" s="115"/>
      <c r="X20" s="115"/>
      <c r="Y20" s="115"/>
      <c r="Z20" s="150"/>
    </row>
    <row r="21" spans="1:26" s="160" customFormat="1" ht="13.5" customHeight="1">
      <c r="A21" s="157">
        <v>44824</v>
      </c>
      <c r="B21" s="157"/>
      <c r="C21" s="264" t="s">
        <v>455</v>
      </c>
      <c r="D21" s="158">
        <v>20000</v>
      </c>
      <c r="E21" s="158">
        <v>4000</v>
      </c>
      <c r="F21" s="158">
        <v>-5000</v>
      </c>
      <c r="G21" s="158">
        <v>15000</v>
      </c>
      <c r="H21" s="158"/>
      <c r="I21" s="158"/>
      <c r="J21" s="158"/>
      <c r="K21" s="158"/>
      <c r="L21" s="158"/>
      <c r="M21" s="158"/>
      <c r="N21" s="158"/>
      <c r="O21" s="158" t="s">
        <v>51</v>
      </c>
      <c r="P21" s="158"/>
      <c r="Q21" s="158"/>
      <c r="R21" s="158"/>
      <c r="S21" s="293"/>
      <c r="T21" s="117"/>
      <c r="U21" s="117"/>
      <c r="V21" s="117"/>
      <c r="W21" s="117"/>
      <c r="X21" s="117"/>
      <c r="Y21" s="117"/>
      <c r="Z21" s="159"/>
    </row>
    <row r="22" spans="1:26" s="155" customFormat="1" ht="13.5" customHeight="1">
      <c r="A22" s="161">
        <v>44824</v>
      </c>
      <c r="B22" s="161"/>
      <c r="C22" s="263" t="s">
        <v>456</v>
      </c>
      <c r="D22" s="153"/>
      <c r="E22" s="153"/>
      <c r="F22" s="153"/>
      <c r="G22" s="153"/>
      <c r="H22" s="153"/>
      <c r="I22" s="153"/>
      <c r="J22" s="153"/>
      <c r="K22" s="153"/>
      <c r="L22" s="153"/>
      <c r="M22" s="153"/>
      <c r="N22" s="153"/>
      <c r="O22" s="153"/>
      <c r="P22" s="153"/>
      <c r="Q22" s="153"/>
      <c r="R22" s="153"/>
      <c r="S22" s="292"/>
      <c r="T22" s="116"/>
      <c r="U22" s="116"/>
      <c r="V22" s="116"/>
      <c r="W22" s="116"/>
      <c r="X22" s="116"/>
      <c r="Y22" s="116"/>
      <c r="Z22" s="154"/>
    </row>
    <row r="23" spans="1:26" s="151" customFormat="1" ht="10.15">
      <c r="A23" s="152">
        <v>44825</v>
      </c>
      <c r="B23" s="152"/>
      <c r="C23" s="700" t="s">
        <v>457</v>
      </c>
      <c r="D23" s="692"/>
      <c r="E23" s="692"/>
      <c r="F23" s="692">
        <v>-1000</v>
      </c>
      <c r="G23" s="692">
        <v>-2000</v>
      </c>
      <c r="H23" s="692"/>
      <c r="I23" s="692"/>
      <c r="J23" s="692"/>
      <c r="K23" s="692"/>
      <c r="L23" s="692"/>
      <c r="M23" s="692"/>
      <c r="N23" s="692"/>
      <c r="O23" s="692"/>
      <c r="P23" s="692"/>
      <c r="Q23" s="692">
        <v>35</v>
      </c>
      <c r="R23" s="692">
        <v>4.76</v>
      </c>
      <c r="S23" s="291"/>
      <c r="T23" s="115"/>
      <c r="U23" s="115"/>
      <c r="V23" s="115"/>
      <c r="W23" s="115"/>
      <c r="X23" s="115"/>
      <c r="Y23" s="115"/>
      <c r="Z23" s="150"/>
    </row>
    <row r="24" spans="1:26" s="151" customFormat="1" ht="10.15">
      <c r="A24" s="152">
        <v>44825</v>
      </c>
      <c r="B24" s="152"/>
      <c r="C24" s="700" t="s">
        <v>458</v>
      </c>
      <c r="D24" s="692"/>
      <c r="E24" s="692"/>
      <c r="F24" s="692">
        <v>-8000</v>
      </c>
      <c r="G24" s="692">
        <v>-5000</v>
      </c>
      <c r="H24" s="692"/>
      <c r="I24" s="692"/>
      <c r="J24" s="692"/>
      <c r="K24" s="692"/>
      <c r="L24" s="692"/>
      <c r="M24" s="692"/>
      <c r="N24" s="692"/>
      <c r="O24" s="692"/>
      <c r="P24" s="692"/>
      <c r="Q24" s="692"/>
      <c r="R24" s="692"/>
      <c r="S24" s="291"/>
      <c r="T24" s="115"/>
      <c r="U24" s="115"/>
      <c r="V24" s="115"/>
      <c r="W24" s="115"/>
      <c r="X24" s="115"/>
      <c r="Y24" s="115"/>
      <c r="Z24" s="150"/>
    </row>
    <row r="25" spans="1:26" s="155" customFormat="1" ht="13.5" customHeight="1">
      <c r="A25" s="161">
        <v>44825</v>
      </c>
      <c r="B25" s="161"/>
      <c r="C25" s="263" t="s">
        <v>459</v>
      </c>
      <c r="D25" s="153"/>
      <c r="E25" s="153"/>
      <c r="F25" s="153"/>
      <c r="G25" s="153"/>
      <c r="H25" s="153"/>
      <c r="I25" s="153"/>
      <c r="J25" s="153"/>
      <c r="K25" s="153"/>
      <c r="L25" s="153"/>
      <c r="M25" s="153"/>
      <c r="N25" s="153"/>
      <c r="O25" s="153"/>
      <c r="P25" s="153"/>
      <c r="Q25" s="153"/>
      <c r="R25" s="153"/>
      <c r="S25" s="292"/>
      <c r="T25" s="116"/>
      <c r="U25" s="116"/>
      <c r="V25" s="116"/>
      <c r="W25" s="116"/>
      <c r="X25" s="116"/>
      <c r="Y25" s="116"/>
      <c r="Z25" s="154"/>
    </row>
    <row r="26" spans="1:26" s="151" customFormat="1" ht="20.45">
      <c r="A26" s="152">
        <v>44825</v>
      </c>
      <c r="B26" s="152"/>
      <c r="C26" s="700" t="s">
        <v>460</v>
      </c>
      <c r="D26" s="692"/>
      <c r="E26" s="692"/>
      <c r="F26" s="692">
        <v>-10400</v>
      </c>
      <c r="G26" s="692">
        <v>-6000</v>
      </c>
      <c r="H26" s="692"/>
      <c r="I26" s="692"/>
      <c r="J26" s="692"/>
      <c r="K26" s="692"/>
      <c r="L26" s="692"/>
      <c r="M26" s="692"/>
      <c r="N26" s="692"/>
      <c r="O26" s="692" t="s">
        <v>40</v>
      </c>
      <c r="P26" s="692"/>
      <c r="Q26" s="692"/>
      <c r="R26" s="692"/>
      <c r="S26" s="291"/>
      <c r="T26" s="115"/>
      <c r="U26" s="115"/>
      <c r="V26" s="115"/>
      <c r="W26" s="115"/>
      <c r="X26" s="115"/>
      <c r="Y26" s="115"/>
      <c r="Z26" s="150"/>
    </row>
    <row r="27" spans="1:26" s="151" customFormat="1" ht="10.15">
      <c r="A27" s="152">
        <v>44825</v>
      </c>
      <c r="B27" s="152"/>
      <c r="C27" s="700" t="s">
        <v>457</v>
      </c>
      <c r="D27" s="692"/>
      <c r="E27" s="692"/>
      <c r="F27" s="692">
        <v>8000</v>
      </c>
      <c r="G27" s="692">
        <v>3000</v>
      </c>
      <c r="H27" s="692"/>
      <c r="I27" s="692"/>
      <c r="J27" s="692"/>
      <c r="K27" s="692"/>
      <c r="L27" s="692"/>
      <c r="M27" s="692"/>
      <c r="N27" s="692"/>
      <c r="O27" s="692"/>
      <c r="P27" s="692"/>
      <c r="Q27" s="692"/>
      <c r="R27" s="692"/>
      <c r="S27" s="291"/>
      <c r="T27" s="115"/>
      <c r="U27" s="115"/>
      <c r="V27" s="115"/>
      <c r="W27" s="115"/>
      <c r="X27" s="115"/>
      <c r="Y27" s="115"/>
      <c r="Z27" s="150"/>
    </row>
    <row r="28" spans="1:26" s="160" customFormat="1" ht="20.45">
      <c r="A28" s="157">
        <v>44825</v>
      </c>
      <c r="B28" s="157"/>
      <c r="C28" s="264" t="s">
        <v>461</v>
      </c>
      <c r="D28" s="158"/>
      <c r="E28" s="158"/>
      <c r="F28" s="158"/>
      <c r="G28" s="158"/>
      <c r="H28" s="158">
        <v>750</v>
      </c>
      <c r="I28" s="158">
        <v>500</v>
      </c>
      <c r="J28" s="158"/>
      <c r="K28" s="158"/>
      <c r="L28" s="158"/>
      <c r="M28" s="158"/>
      <c r="N28" s="158"/>
      <c r="O28" s="158"/>
      <c r="P28" s="158"/>
      <c r="Q28" s="158"/>
      <c r="R28" s="158"/>
      <c r="S28" s="293"/>
      <c r="T28" s="117"/>
      <c r="U28" s="117"/>
      <c r="V28" s="117"/>
      <c r="W28" s="117"/>
      <c r="X28" s="117"/>
      <c r="Y28" s="117"/>
      <c r="Z28" s="159"/>
    </row>
    <row r="29" spans="1:26" s="155" customFormat="1" ht="13.5" customHeight="1">
      <c r="A29" s="161">
        <v>44825</v>
      </c>
      <c r="B29" s="161"/>
      <c r="C29" s="263" t="s">
        <v>462</v>
      </c>
      <c r="D29" s="153"/>
      <c r="E29" s="153"/>
      <c r="F29" s="153"/>
      <c r="G29" s="153"/>
      <c r="H29" s="153"/>
      <c r="I29" s="153"/>
      <c r="J29" s="153"/>
      <c r="K29" s="153"/>
      <c r="L29" s="153"/>
      <c r="M29" s="153"/>
      <c r="N29" s="153"/>
      <c r="O29" s="153"/>
      <c r="P29" s="153"/>
      <c r="Q29" s="153"/>
      <c r="R29" s="153"/>
      <c r="S29" s="292"/>
      <c r="T29" s="116"/>
      <c r="U29" s="116"/>
      <c r="V29" s="116"/>
      <c r="W29" s="116"/>
      <c r="X29" s="116"/>
      <c r="Y29" s="116"/>
      <c r="Z29" s="154"/>
    </row>
    <row r="30" spans="1:26" s="151" customFormat="1" ht="20.45">
      <c r="A30" s="152">
        <v>44825</v>
      </c>
      <c r="B30" s="152"/>
      <c r="C30" s="700" t="s">
        <v>463</v>
      </c>
      <c r="D30" s="692">
        <v>23000</v>
      </c>
      <c r="E30" s="692">
        <v>1500</v>
      </c>
      <c r="F30" s="692">
        <v>2000</v>
      </c>
      <c r="G30" s="692">
        <v>21000</v>
      </c>
      <c r="H30" s="692"/>
      <c r="I30" s="692"/>
      <c r="J30" s="692"/>
      <c r="K30" s="692"/>
      <c r="L30" s="692"/>
      <c r="M30" s="692"/>
      <c r="N30" s="692"/>
      <c r="O30" s="692"/>
      <c r="P30" s="692"/>
      <c r="Q30" s="692"/>
      <c r="R30" s="692"/>
      <c r="S30" s="291"/>
      <c r="T30" s="115"/>
      <c r="U30" s="115"/>
      <c r="V30" s="115"/>
      <c r="W30" s="115"/>
      <c r="X30" s="115"/>
      <c r="Y30" s="115"/>
      <c r="Z30" s="150"/>
    </row>
    <row r="31" spans="1:26" s="155" customFormat="1" ht="13.5" customHeight="1">
      <c r="A31" s="161">
        <v>44826</v>
      </c>
      <c r="B31" s="161"/>
      <c r="C31" s="263" t="s">
        <v>464</v>
      </c>
      <c r="D31" s="153"/>
      <c r="E31" s="153"/>
      <c r="F31" s="153"/>
      <c r="G31" s="153"/>
      <c r="H31" s="153"/>
      <c r="I31" s="153"/>
      <c r="J31" s="153"/>
      <c r="K31" s="153"/>
      <c r="L31" s="153"/>
      <c r="M31" s="153"/>
      <c r="N31" s="153"/>
      <c r="O31" s="153"/>
      <c r="P31" s="153"/>
      <c r="Q31" s="153"/>
      <c r="R31" s="153"/>
      <c r="S31" s="292"/>
      <c r="T31" s="116"/>
      <c r="U31" s="116"/>
      <c r="V31" s="116"/>
      <c r="W31" s="116"/>
      <c r="X31" s="116"/>
      <c r="Y31" s="116"/>
      <c r="Z31" s="154"/>
    </row>
    <row r="32" spans="1:26" s="160" customFormat="1" ht="10.15">
      <c r="A32" s="157">
        <v>44826</v>
      </c>
      <c r="B32" s="157"/>
      <c r="C32" s="264"/>
      <c r="D32" s="158">
        <v>28000</v>
      </c>
      <c r="E32" s="158">
        <v>3500</v>
      </c>
      <c r="F32" s="158"/>
      <c r="G32" s="158"/>
      <c r="H32" s="158"/>
      <c r="I32" s="158"/>
      <c r="J32" s="158"/>
      <c r="K32" s="158"/>
      <c r="L32" s="158"/>
      <c r="M32" s="158"/>
      <c r="N32" s="158"/>
      <c r="O32" s="158"/>
      <c r="P32" s="158"/>
      <c r="Q32" s="158"/>
      <c r="R32" s="158"/>
      <c r="S32" s="293"/>
      <c r="T32" s="117"/>
      <c r="U32" s="117"/>
      <c r="V32" s="117"/>
      <c r="W32" s="117"/>
      <c r="X32" s="117"/>
      <c r="Y32" s="117"/>
      <c r="Z32" s="159"/>
    </row>
    <row r="33" spans="1:26" s="155" customFormat="1" ht="13.5" customHeight="1">
      <c r="A33" s="161">
        <v>44826</v>
      </c>
      <c r="B33" s="161"/>
      <c r="C33" s="263" t="s">
        <v>465</v>
      </c>
      <c r="D33" s="153"/>
      <c r="E33" s="153"/>
      <c r="F33" s="153"/>
      <c r="G33" s="153"/>
      <c r="H33" s="153"/>
      <c r="I33" s="153"/>
      <c r="J33" s="153"/>
      <c r="K33" s="153"/>
      <c r="L33" s="153"/>
      <c r="M33" s="153"/>
      <c r="N33" s="153"/>
      <c r="O33" s="153"/>
      <c r="P33" s="153"/>
      <c r="Q33" s="153"/>
      <c r="R33" s="153"/>
      <c r="S33" s="292"/>
      <c r="T33" s="116"/>
      <c r="U33" s="116"/>
      <c r="V33" s="116"/>
      <c r="W33" s="116"/>
      <c r="X33" s="116"/>
      <c r="Y33" s="116"/>
      <c r="Z33" s="154"/>
    </row>
    <row r="34" spans="1:26" s="151" customFormat="1" ht="20.45">
      <c r="A34" s="152">
        <v>44826</v>
      </c>
      <c r="B34" s="152"/>
      <c r="C34" s="700" t="s">
        <v>466</v>
      </c>
      <c r="D34" s="692">
        <v>1000</v>
      </c>
      <c r="E34" s="692">
        <v>6000</v>
      </c>
      <c r="F34" s="692"/>
      <c r="G34" s="692"/>
      <c r="H34" s="692"/>
      <c r="I34" s="692"/>
      <c r="J34" s="692"/>
      <c r="K34" s="692"/>
      <c r="L34" s="692"/>
      <c r="M34" s="692"/>
      <c r="N34" s="692"/>
      <c r="O34" s="692"/>
      <c r="P34" s="692"/>
      <c r="Q34" s="692"/>
      <c r="R34" s="692"/>
      <c r="S34" s="291"/>
      <c r="T34" s="115"/>
      <c r="U34" s="115"/>
      <c r="V34" s="115"/>
      <c r="W34" s="115"/>
      <c r="X34" s="115"/>
      <c r="Y34" s="115"/>
      <c r="Z34" s="150"/>
    </row>
    <row r="35" spans="1:26" s="151" customFormat="1" ht="10.15">
      <c r="A35" s="152">
        <v>44826</v>
      </c>
      <c r="B35" s="152"/>
      <c r="C35" s="700"/>
      <c r="D35" s="692">
        <v>1000</v>
      </c>
      <c r="E35" s="692">
        <v>12000</v>
      </c>
      <c r="F35" s="692">
        <v>-1000</v>
      </c>
      <c r="G35" s="692"/>
      <c r="H35" s="692"/>
      <c r="I35" s="692"/>
      <c r="J35" s="692"/>
      <c r="K35" s="692"/>
      <c r="L35" s="692"/>
      <c r="M35" s="692"/>
      <c r="N35" s="692"/>
      <c r="O35" s="692"/>
      <c r="P35" s="692"/>
      <c r="Q35" s="692"/>
      <c r="R35" s="692"/>
      <c r="S35" s="291"/>
      <c r="T35" s="115"/>
      <c r="U35" s="115"/>
      <c r="V35" s="115"/>
      <c r="W35" s="115"/>
      <c r="X35" s="115"/>
      <c r="Y35" s="115"/>
      <c r="Z35" s="150"/>
    </row>
    <row r="36" spans="1:26" s="151" customFormat="1" ht="10.15">
      <c r="A36" s="152">
        <v>44826</v>
      </c>
      <c r="B36" s="152"/>
      <c r="C36" s="700"/>
      <c r="D36" s="692">
        <v>1000</v>
      </c>
      <c r="E36" s="692">
        <v>0</v>
      </c>
      <c r="F36" s="692">
        <v>-18000</v>
      </c>
      <c r="G36" s="692">
        <v>1000</v>
      </c>
      <c r="H36" s="692"/>
      <c r="I36" s="692"/>
      <c r="J36" s="692"/>
      <c r="K36" s="692"/>
      <c r="L36" s="692"/>
      <c r="M36" s="692"/>
      <c r="N36" s="692"/>
      <c r="O36" s="692"/>
      <c r="P36" s="692"/>
      <c r="Q36" s="692"/>
      <c r="R36" s="692"/>
      <c r="S36" s="291" t="s">
        <v>467</v>
      </c>
      <c r="T36" s="115"/>
      <c r="U36" s="115"/>
      <c r="V36" s="115"/>
      <c r="W36" s="115"/>
      <c r="X36" s="115"/>
      <c r="Y36" s="115"/>
      <c r="Z36" s="150"/>
    </row>
    <row r="37" spans="1:26" s="151" customFormat="1" ht="10.15">
      <c r="A37" s="152">
        <v>44826</v>
      </c>
      <c r="B37" s="152"/>
      <c r="C37" s="700"/>
      <c r="D37" s="692">
        <v>1000</v>
      </c>
      <c r="E37" s="692">
        <v>-1500</v>
      </c>
      <c r="F37" s="692">
        <v>-20000</v>
      </c>
      <c r="G37" s="692">
        <v>1000</v>
      </c>
      <c r="H37" s="692"/>
      <c r="I37" s="692"/>
      <c r="J37" s="692"/>
      <c r="K37" s="692"/>
      <c r="L37" s="692"/>
      <c r="M37" s="692"/>
      <c r="N37" s="692"/>
      <c r="O37" s="692"/>
      <c r="P37" s="692"/>
      <c r="Q37" s="692"/>
      <c r="R37" s="692"/>
      <c r="S37" s="291">
        <v>53258</v>
      </c>
      <c r="T37" s="115"/>
      <c r="U37" s="115"/>
      <c r="V37" s="115"/>
      <c r="W37" s="115"/>
      <c r="X37" s="115"/>
      <c r="Y37" s="115"/>
      <c r="Z37" s="150"/>
    </row>
    <row r="38" spans="1:26" s="151" customFormat="1" ht="10.15">
      <c r="A38" s="152">
        <v>44826</v>
      </c>
      <c r="B38" s="152"/>
      <c r="C38" s="700"/>
      <c r="D38" s="692">
        <v>1000</v>
      </c>
      <c r="E38" s="692">
        <v>-4000</v>
      </c>
      <c r="F38" s="692">
        <v>-24000</v>
      </c>
      <c r="G38" s="692">
        <v>1000</v>
      </c>
      <c r="H38" s="692"/>
      <c r="I38" s="692"/>
      <c r="J38" s="692"/>
      <c r="K38" s="692"/>
      <c r="L38" s="692"/>
      <c r="M38" s="692"/>
      <c r="N38" s="692"/>
      <c r="O38" s="692"/>
      <c r="P38" s="692"/>
      <c r="Q38" s="692"/>
      <c r="R38" s="692"/>
      <c r="S38" s="291">
        <v>54031</v>
      </c>
      <c r="T38" s="115"/>
      <c r="U38" s="115"/>
      <c r="V38" s="115"/>
      <c r="W38" s="115"/>
      <c r="X38" s="115"/>
      <c r="Y38" s="115"/>
      <c r="Z38" s="150"/>
    </row>
    <row r="39" spans="1:26" s="151" customFormat="1" ht="10.15">
      <c r="A39" s="152">
        <v>44826</v>
      </c>
      <c r="B39" s="152"/>
      <c r="C39" s="700"/>
      <c r="D39" s="692">
        <v>1000</v>
      </c>
      <c r="E39" s="692">
        <v>-6900</v>
      </c>
      <c r="F39" s="692">
        <v>-28000</v>
      </c>
      <c r="G39" s="692">
        <v>1000</v>
      </c>
      <c r="H39" s="692"/>
      <c r="I39" s="692"/>
      <c r="J39" s="692"/>
      <c r="K39" s="692"/>
      <c r="L39" s="692"/>
      <c r="M39" s="692"/>
      <c r="N39" s="692"/>
      <c r="O39" s="692"/>
      <c r="P39" s="692"/>
      <c r="Q39" s="692"/>
      <c r="R39" s="692"/>
      <c r="S39" s="291">
        <v>54559</v>
      </c>
      <c r="T39" s="115"/>
      <c r="U39" s="115"/>
      <c r="V39" s="115"/>
      <c r="W39" s="115"/>
      <c r="X39" s="115"/>
      <c r="Y39" s="115"/>
      <c r="Z39" s="150"/>
    </row>
    <row r="40" spans="1:26" s="151" customFormat="1" ht="10.15">
      <c r="A40" s="152">
        <v>44826</v>
      </c>
      <c r="B40" s="152"/>
      <c r="C40" s="700"/>
      <c r="D40" s="692">
        <v>1000</v>
      </c>
      <c r="E40" s="692">
        <v>-9500</v>
      </c>
      <c r="F40" s="692">
        <v>-32000</v>
      </c>
      <c r="G40" s="692">
        <v>1000</v>
      </c>
      <c r="H40" s="692"/>
      <c r="I40" s="692"/>
      <c r="J40" s="692"/>
      <c r="K40" s="692"/>
      <c r="L40" s="692"/>
      <c r="M40" s="692"/>
      <c r="N40" s="692"/>
      <c r="O40" s="692"/>
      <c r="P40" s="692"/>
      <c r="Q40" s="692"/>
      <c r="R40" s="692"/>
      <c r="S40" s="291">
        <v>55020</v>
      </c>
      <c r="T40" s="115"/>
      <c r="U40" s="115"/>
      <c r="V40" s="115"/>
      <c r="W40" s="115"/>
      <c r="X40" s="115"/>
      <c r="Y40" s="115"/>
      <c r="Z40" s="150"/>
    </row>
    <row r="41" spans="1:26" s="151" customFormat="1" ht="10.15">
      <c r="A41" s="152">
        <v>44826</v>
      </c>
      <c r="B41" s="152"/>
      <c r="C41" s="700"/>
      <c r="D41" s="692">
        <v>1500</v>
      </c>
      <c r="E41" s="692">
        <v>-12000</v>
      </c>
      <c r="F41" s="692">
        <v>-35500</v>
      </c>
      <c r="G41" s="692">
        <v>1000</v>
      </c>
      <c r="H41" s="692"/>
      <c r="I41" s="692"/>
      <c r="J41" s="692"/>
      <c r="K41" s="692"/>
      <c r="L41" s="692"/>
      <c r="M41" s="692"/>
      <c r="N41" s="692"/>
      <c r="O41" s="692"/>
      <c r="P41" s="692"/>
      <c r="Q41" s="692"/>
      <c r="R41" s="692"/>
      <c r="S41" s="291">
        <v>60423</v>
      </c>
      <c r="T41" s="115"/>
      <c r="U41" s="115"/>
      <c r="V41" s="115"/>
      <c r="W41" s="115"/>
      <c r="X41" s="115"/>
      <c r="Y41" s="115"/>
      <c r="Z41" s="150"/>
    </row>
    <row r="42" spans="1:26" s="151" customFormat="1" ht="30.6">
      <c r="A42" s="152">
        <v>44827</v>
      </c>
      <c r="B42" s="152"/>
      <c r="C42" s="700" t="s">
        <v>468</v>
      </c>
      <c r="D42" s="692">
        <v>1500</v>
      </c>
      <c r="E42" s="692">
        <v>-12000</v>
      </c>
      <c r="F42" s="692">
        <v>-35500</v>
      </c>
      <c r="G42" s="692">
        <v>1000</v>
      </c>
      <c r="H42" s="692"/>
      <c r="I42" s="692"/>
      <c r="J42" s="692"/>
      <c r="K42" s="692"/>
      <c r="L42" s="692"/>
      <c r="M42" s="692"/>
      <c r="N42" s="692"/>
      <c r="O42" s="692" t="s">
        <v>68</v>
      </c>
      <c r="P42" s="692"/>
      <c r="Q42" s="692"/>
      <c r="R42" s="692"/>
      <c r="S42" s="291">
        <v>21526</v>
      </c>
      <c r="T42" s="115"/>
      <c r="U42" s="115"/>
      <c r="V42" s="115"/>
      <c r="W42" s="115"/>
      <c r="X42" s="115"/>
      <c r="Y42" s="115"/>
      <c r="Z42" s="150"/>
    </row>
    <row r="43" spans="1:26" s="151" customFormat="1" ht="51">
      <c r="A43" s="152">
        <v>44827</v>
      </c>
      <c r="B43" s="152"/>
      <c r="C43" s="700" t="s">
        <v>469</v>
      </c>
      <c r="D43" s="692">
        <v>1500</v>
      </c>
      <c r="E43" s="692">
        <v>-12000</v>
      </c>
      <c r="F43" s="692">
        <v>-36000</v>
      </c>
      <c r="G43" s="692">
        <v>1000</v>
      </c>
      <c r="H43" s="692"/>
      <c r="I43" s="692"/>
      <c r="J43" s="692"/>
      <c r="K43" s="692"/>
      <c r="L43" s="692"/>
      <c r="M43" s="692"/>
      <c r="N43" s="692"/>
      <c r="O43" s="692" t="s">
        <v>68</v>
      </c>
      <c r="P43" s="692"/>
      <c r="Q43" s="692"/>
      <c r="R43" s="692"/>
      <c r="S43" s="291">
        <v>33307</v>
      </c>
      <c r="T43" s="115"/>
      <c r="U43" s="115"/>
      <c r="V43" s="115"/>
      <c r="W43" s="115"/>
      <c r="X43" s="115"/>
      <c r="Y43" s="115"/>
      <c r="Z43" s="150"/>
    </row>
    <row r="44" spans="1:26" s="151" customFormat="1" ht="10.15">
      <c r="A44" s="115"/>
      <c r="B44" s="115"/>
      <c r="C44" s="700" t="s">
        <v>470</v>
      </c>
      <c r="D44" s="692">
        <v>-18500</v>
      </c>
      <c r="E44" s="692">
        <v>-16000</v>
      </c>
      <c r="F44" s="692">
        <v>-40000</v>
      </c>
      <c r="G44" s="692">
        <v>-16500</v>
      </c>
      <c r="H44" s="692"/>
      <c r="I44" s="692"/>
      <c r="J44" s="692"/>
      <c r="K44" s="692"/>
      <c r="L44" s="692"/>
      <c r="M44" s="692"/>
      <c r="N44" s="692"/>
      <c r="O44" s="692" t="s">
        <v>68</v>
      </c>
      <c r="P44" s="692"/>
      <c r="Q44" s="692"/>
      <c r="R44" s="692"/>
      <c r="S44" s="291">
        <v>50148</v>
      </c>
      <c r="T44" s="115"/>
      <c r="U44" s="115"/>
      <c r="V44" s="115"/>
      <c r="W44" s="115"/>
      <c r="X44" s="115"/>
      <c r="Y44" s="115"/>
      <c r="Z44" s="150"/>
    </row>
    <row r="45" spans="1:26" s="151" customFormat="1" ht="20.45">
      <c r="A45" s="152">
        <v>44827</v>
      </c>
      <c r="B45" s="152"/>
      <c r="C45" s="700" t="s">
        <v>471</v>
      </c>
      <c r="D45" s="692">
        <v>1500</v>
      </c>
      <c r="E45" s="692">
        <v>-12000</v>
      </c>
      <c r="F45" s="692">
        <v>-36000</v>
      </c>
      <c r="G45" s="692">
        <v>1000</v>
      </c>
      <c r="H45" s="692"/>
      <c r="I45" s="692"/>
      <c r="J45" s="692"/>
      <c r="K45" s="692"/>
      <c r="L45" s="692"/>
      <c r="M45" s="692"/>
      <c r="N45" s="692"/>
      <c r="O45" s="692" t="s">
        <v>472</v>
      </c>
      <c r="P45" s="692"/>
      <c r="Q45" s="692"/>
      <c r="R45" s="692"/>
      <c r="S45" s="291"/>
      <c r="T45" s="115"/>
      <c r="U45" s="115"/>
      <c r="V45" s="115"/>
      <c r="W45" s="115"/>
      <c r="X45" s="115"/>
      <c r="Y45" s="115"/>
      <c r="Z45" s="150"/>
    </row>
    <row r="46" spans="1:26" s="151" customFormat="1" ht="13.5" customHeight="1">
      <c r="A46" s="152">
        <v>44827</v>
      </c>
      <c r="B46" s="152"/>
      <c r="C46" s="700" t="s">
        <v>471</v>
      </c>
      <c r="D46" s="692">
        <v>1500</v>
      </c>
      <c r="E46" s="692">
        <v>-12000</v>
      </c>
      <c r="F46" s="692">
        <v>-36000</v>
      </c>
      <c r="G46" s="692">
        <v>1000</v>
      </c>
      <c r="H46" s="692"/>
      <c r="I46" s="692"/>
      <c r="J46" s="692"/>
      <c r="K46" s="692"/>
      <c r="L46" s="692"/>
      <c r="M46" s="692"/>
      <c r="N46" s="692"/>
      <c r="O46" s="692" t="s">
        <v>68</v>
      </c>
      <c r="P46" s="692"/>
      <c r="Q46" s="692"/>
      <c r="R46" s="692"/>
      <c r="S46" s="291">
        <v>54140</v>
      </c>
      <c r="T46" s="115"/>
      <c r="U46" s="115"/>
      <c r="V46" s="115"/>
      <c r="W46" s="115"/>
      <c r="X46" s="115"/>
      <c r="Y46" s="115"/>
      <c r="Z46" s="150"/>
    </row>
    <row r="47" spans="1:26" s="115" customFormat="1" ht="8.25" customHeight="1">
      <c r="C47" s="700"/>
      <c r="D47" s="692">
        <v>-18500</v>
      </c>
      <c r="E47" s="692">
        <v>-16000</v>
      </c>
      <c r="F47" s="692">
        <v>-40800</v>
      </c>
      <c r="G47" s="692">
        <v>-17000</v>
      </c>
      <c r="H47" s="692"/>
      <c r="I47" s="692"/>
      <c r="J47" s="692"/>
      <c r="K47" s="692"/>
      <c r="L47" s="692"/>
      <c r="M47" s="692"/>
      <c r="N47" s="692"/>
      <c r="O47" s="692"/>
      <c r="P47" s="692"/>
      <c r="Q47" s="692">
        <v>17</v>
      </c>
      <c r="R47" s="692">
        <v>4.0199999999999996</v>
      </c>
      <c r="S47" s="291"/>
      <c r="Z47" s="162"/>
    </row>
    <row r="48" spans="1:26" s="115" customFormat="1" ht="20.45">
      <c r="A48" s="152">
        <v>44827</v>
      </c>
      <c r="B48" s="152"/>
      <c r="C48" s="700" t="s">
        <v>473</v>
      </c>
      <c r="D48" s="692">
        <v>1500</v>
      </c>
      <c r="E48" s="692">
        <v>-12000</v>
      </c>
      <c r="F48" s="692">
        <v>-36000</v>
      </c>
      <c r="G48" s="692">
        <v>1000</v>
      </c>
      <c r="H48" s="692"/>
      <c r="I48" s="692"/>
      <c r="J48" s="692"/>
      <c r="K48" s="692"/>
      <c r="L48" s="692"/>
      <c r="M48" s="692"/>
      <c r="N48" s="692"/>
      <c r="O48" s="692" t="s">
        <v>474</v>
      </c>
      <c r="P48" s="692"/>
      <c r="Q48" s="692"/>
      <c r="R48" s="692"/>
      <c r="S48" s="291"/>
      <c r="Z48" s="162"/>
    </row>
    <row r="49" spans="1:26" ht="20.45">
      <c r="A49" s="152">
        <v>44827</v>
      </c>
      <c r="B49" s="152"/>
      <c r="C49" s="700" t="s">
        <v>473</v>
      </c>
      <c r="D49" s="692">
        <v>1500</v>
      </c>
      <c r="E49" s="692">
        <v>-12000</v>
      </c>
      <c r="F49" s="692">
        <v>-36000</v>
      </c>
      <c r="G49" s="692">
        <v>1000</v>
      </c>
      <c r="H49" s="692"/>
      <c r="I49" s="692"/>
      <c r="J49" s="692"/>
      <c r="K49" s="692"/>
      <c r="L49" s="692"/>
      <c r="M49" s="692"/>
      <c r="N49" s="692"/>
      <c r="O49" s="692" t="s">
        <v>68</v>
      </c>
      <c r="P49" s="692"/>
      <c r="Q49" s="692"/>
      <c r="R49" s="692"/>
      <c r="S49" s="291">
        <v>65018</v>
      </c>
      <c r="T49" s="115"/>
      <c r="U49" s="115"/>
      <c r="V49" s="115"/>
      <c r="W49" s="115"/>
      <c r="X49" s="115"/>
      <c r="Y49" s="115"/>
    </row>
    <row r="50" spans="1:26" s="167" customFormat="1" ht="40.9">
      <c r="A50" s="118"/>
      <c r="B50" s="118"/>
      <c r="C50" s="265" t="s">
        <v>475</v>
      </c>
      <c r="D50" s="165"/>
      <c r="E50" s="165"/>
      <c r="F50" s="165"/>
      <c r="G50" s="165"/>
      <c r="H50" s="165"/>
      <c r="I50" s="165"/>
      <c r="J50" s="165"/>
      <c r="K50" s="165"/>
      <c r="L50" s="165"/>
      <c r="M50" s="165"/>
      <c r="N50" s="165"/>
      <c r="O50" s="165"/>
      <c r="P50" s="165"/>
      <c r="Q50" s="165"/>
      <c r="R50" s="165"/>
      <c r="S50" s="294"/>
      <c r="T50" s="118"/>
      <c r="U50" s="118"/>
      <c r="V50" s="118"/>
      <c r="W50" s="118"/>
      <c r="X50" s="118"/>
      <c r="Y50" s="118"/>
      <c r="Z50" s="166"/>
    </row>
    <row r="51" spans="1:26" ht="20.45">
      <c r="A51" s="152">
        <v>44909</v>
      </c>
      <c r="B51" s="152"/>
      <c r="C51" s="700" t="s">
        <v>476</v>
      </c>
      <c r="D51" s="692">
        <v>21</v>
      </c>
      <c r="E51" s="692">
        <v>22</v>
      </c>
      <c r="F51" s="692">
        <v>19.02</v>
      </c>
      <c r="G51" s="692">
        <v>22</v>
      </c>
      <c r="H51" s="692">
        <v>22</v>
      </c>
      <c r="I51" s="692">
        <v>22</v>
      </c>
      <c r="J51" s="692"/>
      <c r="K51" s="692"/>
      <c r="L51" s="692"/>
      <c r="M51" s="692"/>
      <c r="N51" s="692"/>
      <c r="O51" s="692"/>
      <c r="P51" s="692"/>
      <c r="Q51" s="692"/>
      <c r="R51" s="692"/>
      <c r="T51" s="115"/>
      <c r="U51" s="115"/>
      <c r="V51" s="115"/>
      <c r="W51" s="115"/>
      <c r="X51" s="115"/>
      <c r="Y51" s="115"/>
    </row>
    <row r="52" spans="1:26">
      <c r="A52" s="152">
        <v>44909</v>
      </c>
      <c r="B52" s="152"/>
      <c r="C52" s="700"/>
      <c r="D52" s="692">
        <v>21</v>
      </c>
      <c r="E52" s="692">
        <v>22</v>
      </c>
      <c r="F52" s="692">
        <v>19.02</v>
      </c>
      <c r="G52" s="692">
        <v>22</v>
      </c>
      <c r="H52" s="692">
        <v>22</v>
      </c>
      <c r="I52" s="692">
        <v>25</v>
      </c>
      <c r="J52" s="692"/>
      <c r="K52" s="692"/>
      <c r="L52" s="692"/>
      <c r="M52" s="692"/>
      <c r="N52" s="692"/>
      <c r="O52" s="692"/>
      <c r="P52" s="692"/>
      <c r="Q52" s="692"/>
      <c r="R52" s="692"/>
      <c r="T52" s="115"/>
      <c r="U52" s="115"/>
      <c r="V52" s="115"/>
      <c r="W52" s="115"/>
      <c r="X52" s="115"/>
      <c r="Y52" s="115"/>
    </row>
    <row r="53" spans="1:26">
      <c r="A53" s="152">
        <v>44909</v>
      </c>
      <c r="B53" s="152"/>
      <c r="C53" s="700"/>
      <c r="D53" s="692">
        <v>21</v>
      </c>
      <c r="E53" s="692">
        <v>22</v>
      </c>
      <c r="F53" s="692">
        <v>19.02</v>
      </c>
      <c r="G53" s="692">
        <v>22</v>
      </c>
      <c r="H53" s="692">
        <v>22</v>
      </c>
      <c r="I53" s="692">
        <v>19</v>
      </c>
      <c r="J53" s="692"/>
      <c r="K53" s="692"/>
      <c r="L53" s="692"/>
      <c r="M53" s="692"/>
      <c r="N53" s="692"/>
      <c r="O53" s="692"/>
      <c r="P53" s="692"/>
      <c r="Q53" s="692"/>
      <c r="R53" s="692"/>
      <c r="T53" s="115"/>
      <c r="U53" s="115"/>
      <c r="V53" s="115"/>
      <c r="W53" s="115"/>
      <c r="X53" s="115"/>
      <c r="Y53" s="115"/>
    </row>
    <row r="54" spans="1:26">
      <c r="A54" s="152">
        <v>44909</v>
      </c>
      <c r="B54" s="152"/>
      <c r="C54" s="700"/>
      <c r="D54" s="692">
        <v>21</v>
      </c>
      <c r="E54" s="692">
        <v>22</v>
      </c>
      <c r="F54" s="692">
        <v>19.02</v>
      </c>
      <c r="G54" s="692">
        <v>22</v>
      </c>
      <c r="H54" s="692">
        <v>22</v>
      </c>
      <c r="I54" s="692">
        <v>22</v>
      </c>
      <c r="J54" s="692"/>
      <c r="K54" s="692"/>
      <c r="L54" s="692"/>
      <c r="M54" s="692"/>
      <c r="N54" s="692"/>
      <c r="O54" s="692"/>
      <c r="P54" s="692"/>
      <c r="Q54" s="692"/>
      <c r="R54" s="692"/>
      <c r="T54" s="115"/>
      <c r="U54" s="115"/>
      <c r="V54" s="115"/>
      <c r="W54" s="115"/>
      <c r="X54" s="115"/>
      <c r="Y54" s="115"/>
    </row>
    <row r="55" spans="1:26">
      <c r="A55" s="152">
        <v>44909</v>
      </c>
      <c r="B55" s="152"/>
      <c r="C55" s="700"/>
      <c r="D55" s="692">
        <v>21</v>
      </c>
      <c r="E55" s="692">
        <v>22</v>
      </c>
      <c r="F55" s="692">
        <v>19.02</v>
      </c>
      <c r="G55" s="692">
        <v>22</v>
      </c>
      <c r="H55" s="692">
        <v>24.8</v>
      </c>
      <c r="I55" s="692">
        <v>22</v>
      </c>
      <c r="J55" s="692"/>
      <c r="K55" s="692"/>
      <c r="L55" s="692"/>
      <c r="M55" s="692"/>
      <c r="N55" s="692"/>
      <c r="O55" s="692"/>
      <c r="P55" s="692"/>
      <c r="Q55" s="692"/>
      <c r="R55" s="692"/>
      <c r="T55" s="115"/>
      <c r="U55" s="115"/>
      <c r="V55" s="115"/>
      <c r="W55" s="115"/>
      <c r="X55" s="115"/>
      <c r="Y55" s="115"/>
    </row>
    <row r="56" spans="1:26">
      <c r="A56" s="152">
        <v>44909</v>
      </c>
      <c r="B56" s="152"/>
      <c r="C56" s="700"/>
      <c r="D56" s="692">
        <v>21</v>
      </c>
      <c r="E56" s="692">
        <v>22</v>
      </c>
      <c r="F56" s="692">
        <v>19.02</v>
      </c>
      <c r="G56" s="692">
        <v>22</v>
      </c>
      <c r="H56" s="692">
        <v>24.8</v>
      </c>
      <c r="I56" s="692">
        <v>24</v>
      </c>
      <c r="J56" s="692"/>
      <c r="K56" s="692"/>
      <c r="L56" s="692"/>
      <c r="M56" s="692"/>
      <c r="N56" s="692"/>
      <c r="O56" s="692"/>
      <c r="P56" s="692"/>
      <c r="Q56" s="692"/>
      <c r="R56" s="692"/>
      <c r="T56" s="115"/>
      <c r="U56" s="115"/>
      <c r="V56" s="115"/>
      <c r="W56" s="115"/>
      <c r="X56" s="115"/>
      <c r="Y56" s="115"/>
    </row>
    <row r="57" spans="1:26" ht="20.45">
      <c r="A57" s="152">
        <v>44909</v>
      </c>
      <c r="B57" s="152"/>
      <c r="C57" s="700" t="s">
        <v>477</v>
      </c>
      <c r="D57" s="692">
        <v>21</v>
      </c>
      <c r="E57" s="692">
        <v>22</v>
      </c>
      <c r="F57" s="692">
        <v>19.02</v>
      </c>
      <c r="G57" s="692">
        <v>22</v>
      </c>
      <c r="H57" s="692">
        <v>24.8</v>
      </c>
      <c r="I57" s="692">
        <v>23.5</v>
      </c>
      <c r="J57" s="692"/>
      <c r="K57" s="692"/>
      <c r="L57" s="692"/>
      <c r="M57" s="692"/>
      <c r="N57" s="692"/>
      <c r="O57" s="692"/>
      <c r="P57" s="692"/>
      <c r="Q57" s="692"/>
      <c r="R57" s="692"/>
      <c r="T57" s="115"/>
      <c r="U57" s="115"/>
      <c r="V57" s="115"/>
      <c r="W57" s="115"/>
      <c r="X57" s="115"/>
      <c r="Y57" s="115"/>
    </row>
    <row r="58" spans="1:26">
      <c r="A58" s="152">
        <v>44911</v>
      </c>
      <c r="B58" s="152"/>
      <c r="C58" s="700"/>
      <c r="D58" s="692">
        <v>21</v>
      </c>
      <c r="E58" s="692">
        <v>22</v>
      </c>
      <c r="F58" s="692">
        <v>19.02</v>
      </c>
      <c r="G58" s="692">
        <v>22</v>
      </c>
      <c r="H58" s="692">
        <v>24.8</v>
      </c>
      <c r="I58" s="692">
        <v>23.5</v>
      </c>
      <c r="J58" s="692"/>
      <c r="K58" s="692"/>
      <c r="L58" s="692"/>
      <c r="M58" s="692"/>
      <c r="N58" s="692"/>
      <c r="O58" s="692" t="s">
        <v>40</v>
      </c>
      <c r="P58" s="692"/>
      <c r="Q58" s="692"/>
      <c r="R58" s="692"/>
      <c r="T58" s="115"/>
      <c r="U58" s="115"/>
      <c r="V58" s="115"/>
      <c r="W58" s="115"/>
      <c r="X58" s="115"/>
      <c r="Y58" s="115"/>
    </row>
    <row r="59" spans="1:26">
      <c r="A59" s="152">
        <v>44911</v>
      </c>
      <c r="B59" s="152"/>
      <c r="C59" s="700"/>
      <c r="D59" s="692">
        <v>21</v>
      </c>
      <c r="E59" s="692">
        <v>22</v>
      </c>
      <c r="F59" s="692">
        <v>19.02</v>
      </c>
      <c r="G59" s="692">
        <v>22</v>
      </c>
      <c r="H59" s="692">
        <v>24.8</v>
      </c>
      <c r="I59" s="692">
        <v>23.5</v>
      </c>
      <c r="J59" s="692"/>
      <c r="K59" s="692"/>
      <c r="L59" s="692"/>
      <c r="M59" s="692"/>
      <c r="N59" s="692"/>
      <c r="O59" s="692" t="s">
        <v>478</v>
      </c>
      <c r="P59" s="692"/>
      <c r="Q59" s="692"/>
      <c r="R59" s="692"/>
      <c r="S59" s="291">
        <v>12209</v>
      </c>
      <c r="T59" s="115"/>
      <c r="U59" s="115"/>
      <c r="V59" s="115"/>
      <c r="W59" s="115"/>
      <c r="X59" s="115"/>
      <c r="Y59" s="115"/>
    </row>
    <row r="60" spans="1:26">
      <c r="A60" s="152">
        <v>44911</v>
      </c>
      <c r="B60" s="152"/>
      <c r="C60" s="700"/>
      <c r="D60" s="692">
        <v>21.5</v>
      </c>
      <c r="E60" s="692">
        <v>22</v>
      </c>
      <c r="F60" s="692">
        <v>19.02</v>
      </c>
      <c r="G60" s="692">
        <v>22</v>
      </c>
      <c r="H60" s="692">
        <v>24.8</v>
      </c>
      <c r="I60" s="692">
        <v>23.5</v>
      </c>
      <c r="J60" s="692"/>
      <c r="K60" s="692"/>
      <c r="L60" s="692"/>
      <c r="M60" s="692"/>
      <c r="N60" s="692"/>
      <c r="O60" s="692" t="s">
        <v>479</v>
      </c>
      <c r="P60" s="692"/>
      <c r="Q60" s="692"/>
      <c r="R60" s="692"/>
      <c r="S60" s="291">
        <v>13448</v>
      </c>
      <c r="T60" s="115"/>
      <c r="U60" s="115"/>
      <c r="V60" s="115"/>
      <c r="W60" s="115"/>
      <c r="X60" s="115"/>
      <c r="Y60" s="115"/>
    </row>
    <row r="61" spans="1:26">
      <c r="A61" s="152">
        <v>44911</v>
      </c>
      <c r="B61" s="152"/>
      <c r="C61" s="700"/>
      <c r="D61" s="692">
        <v>22</v>
      </c>
      <c r="E61" s="692">
        <v>22</v>
      </c>
      <c r="F61" s="692">
        <v>19.02</v>
      </c>
      <c r="G61" s="692">
        <v>22</v>
      </c>
      <c r="H61" s="692">
        <v>24.8</v>
      </c>
      <c r="I61" s="692">
        <v>23.5</v>
      </c>
      <c r="J61" s="692"/>
      <c r="K61" s="692"/>
      <c r="L61" s="692"/>
      <c r="M61" s="692"/>
      <c r="N61" s="692"/>
      <c r="O61" s="692" t="s">
        <v>480</v>
      </c>
      <c r="P61" s="692"/>
      <c r="Q61" s="692"/>
      <c r="R61" s="692"/>
      <c r="S61" s="291">
        <v>13807</v>
      </c>
      <c r="T61" s="115"/>
      <c r="U61" s="115"/>
      <c r="V61" s="115"/>
      <c r="W61" s="115"/>
      <c r="X61" s="115"/>
      <c r="Y61" s="115"/>
    </row>
    <row r="62" spans="1:26">
      <c r="A62" s="152">
        <v>44911</v>
      </c>
      <c r="B62" s="152"/>
      <c r="C62" s="700"/>
      <c r="D62" s="692">
        <v>22.5</v>
      </c>
      <c r="E62" s="692">
        <v>22</v>
      </c>
      <c r="F62" s="692">
        <v>19.02</v>
      </c>
      <c r="G62" s="692">
        <v>22</v>
      </c>
      <c r="H62" s="692">
        <v>24.8</v>
      </c>
      <c r="I62" s="692">
        <v>23.5</v>
      </c>
      <c r="J62" s="692"/>
      <c r="K62" s="692"/>
      <c r="L62" s="692"/>
      <c r="M62" s="692"/>
      <c r="N62" s="692"/>
      <c r="O62" s="692" t="s">
        <v>481</v>
      </c>
      <c r="P62" s="692"/>
      <c r="Q62" s="692"/>
      <c r="R62" s="692"/>
      <c r="S62" s="291">
        <v>14052</v>
      </c>
      <c r="T62" s="115"/>
      <c r="U62" s="115"/>
      <c r="V62" s="115"/>
      <c r="W62" s="115"/>
      <c r="X62" s="115"/>
      <c r="Y62" s="115"/>
    </row>
    <row r="63" spans="1:26">
      <c r="A63" s="152">
        <v>44911</v>
      </c>
      <c r="B63" s="152"/>
      <c r="C63" s="700"/>
      <c r="D63" s="692">
        <v>23</v>
      </c>
      <c r="E63" s="692">
        <v>22</v>
      </c>
      <c r="F63" s="692">
        <v>19.02</v>
      </c>
      <c r="G63" s="692">
        <v>22</v>
      </c>
      <c r="H63" s="692">
        <v>24.8</v>
      </c>
      <c r="I63" s="692">
        <v>23.5</v>
      </c>
      <c r="J63" s="692"/>
      <c r="K63" s="692"/>
      <c r="L63" s="692"/>
      <c r="M63" s="692"/>
      <c r="N63" s="692"/>
      <c r="O63" s="692" t="s">
        <v>482</v>
      </c>
      <c r="P63" s="692"/>
      <c r="Q63" s="692"/>
      <c r="R63" s="692"/>
      <c r="S63" s="291">
        <v>14323</v>
      </c>
      <c r="T63" s="115"/>
      <c r="U63" s="115"/>
      <c r="V63" s="115"/>
      <c r="W63" s="115"/>
      <c r="X63" s="115"/>
      <c r="Y63" s="115"/>
    </row>
    <row r="64" spans="1:26">
      <c r="A64" s="152">
        <v>44911</v>
      </c>
      <c r="B64" s="152"/>
      <c r="C64" s="700" t="s">
        <v>483</v>
      </c>
      <c r="D64" s="692">
        <v>22</v>
      </c>
      <c r="E64" s="692">
        <v>22</v>
      </c>
      <c r="F64" s="692">
        <v>19.02</v>
      </c>
      <c r="G64" s="692">
        <v>22</v>
      </c>
      <c r="H64" s="692">
        <v>24.8</v>
      </c>
      <c r="I64" s="692">
        <v>23.5</v>
      </c>
      <c r="J64" s="692"/>
      <c r="K64" s="692"/>
      <c r="L64" s="692"/>
      <c r="M64" s="692"/>
      <c r="N64" s="692"/>
      <c r="O64" s="692" t="s">
        <v>484</v>
      </c>
      <c r="P64" s="692"/>
      <c r="Q64" s="692"/>
      <c r="R64" s="692"/>
      <c r="S64" s="291">
        <v>14648</v>
      </c>
      <c r="T64" s="115"/>
      <c r="U64" s="115"/>
      <c r="V64" s="115"/>
      <c r="W64" s="115"/>
      <c r="X64" s="115"/>
      <c r="Y64" s="115"/>
    </row>
    <row r="65" spans="1:25">
      <c r="A65" s="152">
        <v>44911</v>
      </c>
      <c r="B65" s="152"/>
      <c r="C65" s="700" t="s">
        <v>485</v>
      </c>
      <c r="D65" s="692">
        <v>22</v>
      </c>
      <c r="E65" s="692">
        <v>21.5</v>
      </c>
      <c r="F65" s="692">
        <v>19.02</v>
      </c>
      <c r="G65" s="692">
        <v>22</v>
      </c>
      <c r="H65" s="692">
        <v>24.8</v>
      </c>
      <c r="I65" s="692">
        <v>23.5</v>
      </c>
      <c r="J65" s="692"/>
      <c r="K65" s="692"/>
      <c r="L65" s="692"/>
      <c r="M65" s="692"/>
      <c r="N65" s="692"/>
      <c r="O65" s="692"/>
      <c r="P65" s="692"/>
      <c r="Q65" s="692"/>
      <c r="R65" s="692"/>
      <c r="S65" s="291">
        <v>15039</v>
      </c>
      <c r="T65" s="115"/>
      <c r="U65" s="115"/>
      <c r="V65" s="115"/>
      <c r="W65" s="115"/>
      <c r="X65" s="115"/>
      <c r="Y65" s="115"/>
    </row>
    <row r="66" spans="1:25">
      <c r="A66" s="152">
        <v>44911</v>
      </c>
      <c r="B66" s="152"/>
      <c r="C66" s="700"/>
      <c r="D66" s="692">
        <v>22</v>
      </c>
      <c r="E66" s="692">
        <v>22.5</v>
      </c>
      <c r="F66" s="692">
        <v>19.02</v>
      </c>
      <c r="G66" s="692">
        <v>22</v>
      </c>
      <c r="H66" s="692">
        <v>24.8</v>
      </c>
      <c r="I66" s="692">
        <v>23.5</v>
      </c>
      <c r="J66" s="692"/>
      <c r="K66" s="692"/>
      <c r="L66" s="692"/>
      <c r="M66" s="692"/>
      <c r="N66" s="692"/>
      <c r="O66" s="692"/>
      <c r="P66" s="692"/>
      <c r="Q66" s="692"/>
      <c r="R66" s="692"/>
      <c r="S66" s="291">
        <v>15250</v>
      </c>
      <c r="T66" s="115"/>
      <c r="U66" s="115"/>
      <c r="V66" s="115"/>
      <c r="W66" s="115"/>
      <c r="X66" s="115"/>
      <c r="Y66" s="115"/>
    </row>
    <row r="67" spans="1:25">
      <c r="A67" s="152">
        <v>44911</v>
      </c>
      <c r="B67" s="152"/>
      <c r="C67" s="700"/>
      <c r="D67" s="692">
        <v>22</v>
      </c>
      <c r="E67" s="692">
        <v>23</v>
      </c>
      <c r="F67" s="692">
        <v>19.02</v>
      </c>
      <c r="G67" s="692">
        <v>22</v>
      </c>
      <c r="H67" s="692">
        <v>24.8</v>
      </c>
      <c r="I67" s="692">
        <v>23.5</v>
      </c>
      <c r="J67" s="692"/>
      <c r="K67" s="692"/>
      <c r="L67" s="692"/>
      <c r="M67" s="692"/>
      <c r="N67" s="692"/>
      <c r="O67" s="692"/>
      <c r="P67" s="692"/>
      <c r="Q67" s="692"/>
      <c r="R67" s="692"/>
      <c r="S67" s="291">
        <v>15540</v>
      </c>
      <c r="T67" s="115"/>
      <c r="U67" s="115"/>
      <c r="V67" s="115"/>
      <c r="W67" s="115"/>
      <c r="X67" s="115"/>
      <c r="Y67" s="115"/>
    </row>
    <row r="68" spans="1:25">
      <c r="A68" s="152">
        <v>44911</v>
      </c>
      <c r="B68" s="152"/>
      <c r="C68" s="700"/>
      <c r="D68" s="692">
        <v>22</v>
      </c>
      <c r="E68" s="692">
        <v>23.5</v>
      </c>
      <c r="F68" s="692">
        <v>19.02</v>
      </c>
      <c r="G68" s="692">
        <v>22</v>
      </c>
      <c r="H68" s="692">
        <v>24.8</v>
      </c>
      <c r="I68" s="692">
        <v>23.5</v>
      </c>
      <c r="J68" s="692"/>
      <c r="K68" s="692"/>
      <c r="L68" s="692"/>
      <c r="M68" s="692"/>
      <c r="N68" s="692"/>
      <c r="O68" s="692"/>
      <c r="P68" s="692"/>
      <c r="Q68" s="692"/>
      <c r="R68" s="692"/>
      <c r="S68" s="291">
        <v>15901</v>
      </c>
      <c r="T68" s="115"/>
      <c r="U68" s="115"/>
      <c r="V68" s="115"/>
      <c r="W68" s="115"/>
      <c r="X68" s="115"/>
      <c r="Y68" s="115"/>
    </row>
    <row r="69" spans="1:25">
      <c r="A69" s="152">
        <v>44911</v>
      </c>
      <c r="B69" s="152"/>
      <c r="C69" s="700"/>
      <c r="D69" s="692">
        <v>22</v>
      </c>
      <c r="E69" s="692">
        <v>24</v>
      </c>
      <c r="F69" s="692">
        <v>19.02</v>
      </c>
      <c r="G69" s="692">
        <v>22</v>
      </c>
      <c r="H69" s="692">
        <v>24.8</v>
      </c>
      <c r="I69" s="692">
        <v>23.5</v>
      </c>
      <c r="J69" s="692"/>
      <c r="K69" s="692"/>
      <c r="L69" s="692"/>
      <c r="M69" s="692"/>
      <c r="N69" s="692"/>
      <c r="O69" s="692"/>
      <c r="P69" s="692"/>
      <c r="Q69" s="692"/>
      <c r="R69" s="692"/>
      <c r="S69" s="291">
        <v>20222</v>
      </c>
      <c r="T69" s="115"/>
      <c r="U69" s="115"/>
      <c r="V69" s="115"/>
      <c r="W69" s="115"/>
      <c r="X69" s="115"/>
      <c r="Y69" s="115"/>
    </row>
    <row r="70" spans="1:25">
      <c r="A70" s="152">
        <v>44911</v>
      </c>
      <c r="B70" s="152"/>
      <c r="C70" s="700"/>
      <c r="D70" s="692">
        <v>22</v>
      </c>
      <c r="E70" s="692">
        <v>23.5</v>
      </c>
      <c r="F70" s="692">
        <v>19.02</v>
      </c>
      <c r="G70" s="692">
        <v>22</v>
      </c>
      <c r="H70" s="692">
        <v>24.8</v>
      </c>
      <c r="I70" s="692">
        <v>23.5</v>
      </c>
      <c r="J70" s="692"/>
      <c r="K70" s="692"/>
      <c r="L70" s="692"/>
      <c r="M70" s="692"/>
      <c r="N70" s="692"/>
      <c r="O70" s="692"/>
      <c r="P70" s="692"/>
      <c r="Q70" s="692"/>
      <c r="R70" s="692"/>
      <c r="S70" s="291">
        <v>20633</v>
      </c>
      <c r="T70" s="115"/>
      <c r="U70" s="115"/>
      <c r="V70" s="115"/>
      <c r="W70" s="115"/>
      <c r="X70" s="115"/>
      <c r="Y70" s="115"/>
    </row>
    <row r="71" spans="1:25">
      <c r="A71" s="152">
        <v>44911</v>
      </c>
      <c r="B71" s="152"/>
      <c r="C71" s="700"/>
      <c r="D71" s="692">
        <v>22</v>
      </c>
      <c r="E71" s="692">
        <v>23.5</v>
      </c>
      <c r="F71" s="692">
        <v>19.5</v>
      </c>
      <c r="G71" s="692">
        <v>22</v>
      </c>
      <c r="H71" s="692">
        <v>24.8</v>
      </c>
      <c r="I71" s="692">
        <v>23.5</v>
      </c>
      <c r="J71" s="692"/>
      <c r="K71" s="692"/>
      <c r="L71" s="692"/>
      <c r="M71" s="692"/>
      <c r="N71" s="692"/>
      <c r="O71" s="692"/>
      <c r="P71" s="692"/>
      <c r="Q71" s="692"/>
      <c r="R71" s="692"/>
      <c r="S71" s="291">
        <v>20932</v>
      </c>
      <c r="T71" s="115"/>
      <c r="U71" s="115"/>
      <c r="V71" s="115"/>
      <c r="W71" s="115"/>
      <c r="X71" s="115"/>
      <c r="Y71" s="115"/>
    </row>
    <row r="72" spans="1:25">
      <c r="A72" s="152">
        <v>44911</v>
      </c>
      <c r="B72" s="152"/>
      <c r="C72" s="700"/>
      <c r="D72" s="692">
        <v>22</v>
      </c>
      <c r="E72" s="692">
        <v>23.5</v>
      </c>
      <c r="F72" s="692">
        <v>20</v>
      </c>
      <c r="G72" s="692">
        <v>22</v>
      </c>
      <c r="H72" s="692">
        <v>24.8</v>
      </c>
      <c r="I72" s="692">
        <v>23.5</v>
      </c>
      <c r="J72" s="692"/>
      <c r="K72" s="692"/>
      <c r="L72" s="692"/>
      <c r="M72" s="692"/>
      <c r="N72" s="692"/>
      <c r="O72" s="692"/>
      <c r="P72" s="692"/>
      <c r="Q72" s="692"/>
      <c r="R72" s="692"/>
      <c r="S72" s="291">
        <v>21116</v>
      </c>
      <c r="T72" s="115"/>
      <c r="U72" s="115"/>
      <c r="V72" s="115"/>
      <c r="W72" s="115"/>
      <c r="X72" s="115"/>
      <c r="Y72" s="115"/>
    </row>
    <row r="73" spans="1:25">
      <c r="A73" s="152">
        <v>44911</v>
      </c>
      <c r="B73" s="152"/>
      <c r="C73" s="700"/>
      <c r="D73" s="692">
        <v>22</v>
      </c>
      <c r="E73" s="692">
        <v>23.5</v>
      </c>
      <c r="F73" s="692">
        <v>20.5</v>
      </c>
      <c r="G73" s="692">
        <v>22</v>
      </c>
      <c r="H73" s="692">
        <v>24.8</v>
      </c>
      <c r="I73" s="692">
        <v>23.5</v>
      </c>
      <c r="J73" s="692"/>
      <c r="K73" s="692"/>
      <c r="L73" s="692"/>
      <c r="M73" s="692"/>
      <c r="N73" s="692"/>
      <c r="O73" s="692"/>
      <c r="P73" s="692"/>
      <c r="Q73" s="692"/>
      <c r="R73" s="692"/>
      <c r="S73" s="291">
        <v>21333</v>
      </c>
      <c r="T73" s="115"/>
      <c r="U73" s="115"/>
      <c r="V73" s="115"/>
      <c r="W73" s="115"/>
      <c r="X73" s="115"/>
      <c r="Y73" s="115"/>
    </row>
    <row r="74" spans="1:25">
      <c r="A74" s="152">
        <v>44911</v>
      </c>
      <c r="B74" s="152"/>
      <c r="C74" s="700"/>
      <c r="D74" s="692">
        <v>22</v>
      </c>
      <c r="E74" s="692">
        <v>23.5</v>
      </c>
      <c r="F74" s="692">
        <v>21</v>
      </c>
      <c r="G74" s="692">
        <v>22</v>
      </c>
      <c r="H74" s="692">
        <v>24.8</v>
      </c>
      <c r="I74" s="692">
        <v>23.5</v>
      </c>
      <c r="J74" s="692"/>
      <c r="K74" s="692"/>
      <c r="L74" s="692"/>
      <c r="M74" s="692"/>
      <c r="N74" s="692"/>
      <c r="O74" s="692"/>
      <c r="P74" s="692"/>
      <c r="Q74" s="692"/>
      <c r="R74" s="692"/>
      <c r="S74" s="291">
        <v>21707</v>
      </c>
      <c r="T74" s="115"/>
      <c r="U74" s="115"/>
      <c r="V74" s="115"/>
      <c r="W74" s="115"/>
      <c r="X74" s="115"/>
      <c r="Y74" s="115"/>
    </row>
    <row r="75" spans="1:25">
      <c r="A75" s="152">
        <v>44911</v>
      </c>
      <c r="B75" s="152"/>
      <c r="C75" s="700"/>
      <c r="D75" s="692">
        <v>22</v>
      </c>
      <c r="E75" s="692">
        <v>23.5</v>
      </c>
      <c r="F75" s="692">
        <v>21.5</v>
      </c>
      <c r="G75" s="692">
        <v>22</v>
      </c>
      <c r="H75" s="692">
        <v>24.8</v>
      </c>
      <c r="I75" s="692">
        <v>23.5</v>
      </c>
      <c r="J75" s="692"/>
      <c r="K75" s="692"/>
      <c r="L75" s="692"/>
      <c r="M75" s="692"/>
      <c r="N75" s="692"/>
      <c r="O75" s="692"/>
      <c r="P75" s="692"/>
      <c r="Q75" s="692"/>
      <c r="R75" s="692"/>
      <c r="S75" s="291">
        <v>21914</v>
      </c>
      <c r="T75" s="115"/>
      <c r="U75" s="115"/>
      <c r="V75" s="115"/>
      <c r="W75" s="115"/>
      <c r="X75" s="115"/>
      <c r="Y75" s="115"/>
    </row>
    <row r="76" spans="1:25" ht="20.45">
      <c r="A76" s="152">
        <v>44911</v>
      </c>
      <c r="B76" s="152"/>
      <c r="C76" s="700" t="s">
        <v>486</v>
      </c>
      <c r="D76" s="692">
        <v>22</v>
      </c>
      <c r="E76" s="692">
        <v>23.5</v>
      </c>
      <c r="F76" s="692">
        <v>20.5</v>
      </c>
      <c r="G76" s="692">
        <v>22.5</v>
      </c>
      <c r="H76" s="692">
        <v>24.8</v>
      </c>
      <c r="I76" s="692">
        <v>23.5</v>
      </c>
      <c r="J76" s="692"/>
      <c r="K76" s="692"/>
      <c r="L76" s="692"/>
      <c r="M76" s="692"/>
      <c r="N76" s="692"/>
      <c r="O76" s="692"/>
      <c r="P76" s="692"/>
      <c r="Q76" s="692"/>
      <c r="R76" s="692"/>
      <c r="S76" s="291">
        <v>22726</v>
      </c>
      <c r="T76" s="115"/>
      <c r="U76" s="115"/>
      <c r="V76" s="115"/>
      <c r="W76" s="115"/>
      <c r="X76" s="115"/>
      <c r="Y76" s="115"/>
    </row>
    <row r="77" spans="1:25">
      <c r="A77" s="152">
        <v>44911</v>
      </c>
      <c r="B77" s="152"/>
      <c r="C77" s="700"/>
      <c r="D77" s="692">
        <v>22</v>
      </c>
      <c r="E77" s="692">
        <v>23.5</v>
      </c>
      <c r="F77" s="692">
        <v>20.5</v>
      </c>
      <c r="G77" s="692">
        <v>22.5</v>
      </c>
      <c r="H77" s="692">
        <v>24.8</v>
      </c>
      <c r="I77" s="692">
        <v>23.5</v>
      </c>
      <c r="J77" s="692"/>
      <c r="K77" s="692"/>
      <c r="L77" s="692"/>
      <c r="M77" s="692"/>
      <c r="N77" s="692"/>
      <c r="O77" s="692"/>
      <c r="P77" s="692"/>
      <c r="Q77" s="692"/>
      <c r="R77" s="692"/>
      <c r="S77" s="291">
        <v>22941</v>
      </c>
      <c r="T77" s="115"/>
      <c r="U77" s="115"/>
      <c r="V77" s="115"/>
      <c r="W77" s="115"/>
      <c r="X77" s="115"/>
      <c r="Y77" s="115"/>
    </row>
    <row r="78" spans="1:25">
      <c r="A78" s="152">
        <v>44911</v>
      </c>
      <c r="B78" s="152"/>
      <c r="C78" s="700"/>
      <c r="D78" s="692">
        <v>22</v>
      </c>
      <c r="E78" s="692">
        <v>23.5</v>
      </c>
      <c r="F78" s="692">
        <v>20.5</v>
      </c>
      <c r="G78" s="692">
        <v>22.5</v>
      </c>
      <c r="H78" s="692">
        <v>24.8</v>
      </c>
      <c r="I78" s="692">
        <v>23.5</v>
      </c>
      <c r="J78" s="692"/>
      <c r="K78" s="692"/>
      <c r="L78" s="692"/>
      <c r="M78" s="692"/>
      <c r="N78" s="692"/>
      <c r="O78" s="692" t="s">
        <v>487</v>
      </c>
      <c r="P78" s="692"/>
      <c r="Q78" s="692"/>
      <c r="R78" s="692"/>
      <c r="S78" s="291">
        <v>42537</v>
      </c>
      <c r="T78" s="115"/>
      <c r="U78" s="115"/>
      <c r="V78" s="115"/>
      <c r="W78" s="115"/>
      <c r="X78" s="115"/>
      <c r="Y78" s="115"/>
    </row>
    <row r="79" spans="1:25">
      <c r="A79" s="152">
        <v>44911</v>
      </c>
      <c r="B79" s="152"/>
      <c r="C79" s="700"/>
      <c r="D79" s="692"/>
      <c r="E79" s="692"/>
      <c r="F79" s="692"/>
      <c r="G79" s="692"/>
      <c r="H79" s="692"/>
      <c r="I79" s="692"/>
      <c r="J79" s="692"/>
      <c r="K79" s="692"/>
      <c r="L79" s="692"/>
      <c r="M79" s="692"/>
      <c r="N79" s="692"/>
      <c r="O79" s="168">
        <v>2100</v>
      </c>
      <c r="P79" s="692"/>
      <c r="Q79" s="692"/>
      <c r="R79" s="692"/>
      <c r="S79" s="291">
        <v>45315</v>
      </c>
      <c r="T79" s="115"/>
      <c r="U79" s="115"/>
      <c r="V79" s="115"/>
      <c r="W79" s="115"/>
      <c r="X79" s="115"/>
      <c r="Y79" s="115"/>
    </row>
    <row r="80" spans="1:25">
      <c r="A80" s="152">
        <v>44911</v>
      </c>
      <c r="B80" s="152"/>
      <c r="C80" s="700" t="s">
        <v>488</v>
      </c>
      <c r="D80" s="692"/>
      <c r="E80" s="692"/>
      <c r="F80" s="692"/>
      <c r="G80" s="692"/>
      <c r="H80" s="692"/>
      <c r="I80" s="692"/>
      <c r="J80" s="692"/>
      <c r="K80" s="692"/>
      <c r="L80" s="692"/>
      <c r="M80" s="692"/>
      <c r="N80" s="692"/>
      <c r="O80" s="168">
        <v>2200</v>
      </c>
      <c r="P80" s="692"/>
      <c r="Q80" s="692"/>
      <c r="R80" s="692"/>
      <c r="S80" s="291">
        <v>45631</v>
      </c>
      <c r="T80" s="115"/>
      <c r="U80" s="115"/>
      <c r="V80" s="115"/>
      <c r="W80" s="115"/>
      <c r="X80" s="115"/>
      <c r="Y80" s="115"/>
    </row>
    <row r="81" spans="1:25">
      <c r="A81" s="152">
        <v>44911</v>
      </c>
      <c r="B81" s="152"/>
      <c r="C81" s="700"/>
      <c r="D81" s="692"/>
      <c r="E81" s="692"/>
      <c r="F81" s="692"/>
      <c r="G81" s="692"/>
      <c r="H81" s="692"/>
      <c r="I81" s="692"/>
      <c r="J81" s="692"/>
      <c r="K81" s="692"/>
      <c r="L81" s="692"/>
      <c r="M81" s="692"/>
      <c r="N81" s="692"/>
      <c r="O81" s="168">
        <v>2150</v>
      </c>
      <c r="P81" s="692"/>
      <c r="Q81" s="692"/>
      <c r="R81" s="692"/>
      <c r="S81" s="291">
        <v>45821</v>
      </c>
      <c r="T81" s="115"/>
      <c r="U81" s="115"/>
      <c r="V81" s="115"/>
      <c r="W81" s="115"/>
      <c r="X81" s="115"/>
      <c r="Y81" s="115"/>
    </row>
    <row r="82" spans="1:25">
      <c r="A82" s="152">
        <v>44911</v>
      </c>
      <c r="B82" s="152"/>
      <c r="C82" s="700"/>
      <c r="D82" s="692"/>
      <c r="E82" s="692"/>
      <c r="F82" s="692"/>
      <c r="G82" s="692"/>
      <c r="H82" s="692"/>
      <c r="I82" s="692"/>
      <c r="J82" s="692"/>
      <c r="K82" s="692"/>
      <c r="L82" s="692"/>
      <c r="M82" s="692"/>
      <c r="N82" s="692"/>
      <c r="O82" s="692" t="s">
        <v>489</v>
      </c>
      <c r="P82" s="692"/>
      <c r="Q82" s="692"/>
      <c r="R82" s="692"/>
      <c r="S82" s="291">
        <v>45957</v>
      </c>
      <c r="T82" s="115"/>
      <c r="U82" s="115"/>
      <c r="V82" s="115"/>
      <c r="W82" s="115"/>
      <c r="X82" s="115"/>
      <c r="Y82" s="115"/>
    </row>
    <row r="83" spans="1:25">
      <c r="A83" s="152">
        <v>44911</v>
      </c>
      <c r="B83" s="152"/>
      <c r="C83" s="700"/>
      <c r="D83" s="692"/>
      <c r="E83" s="692"/>
      <c r="F83" s="692"/>
      <c r="G83" s="692"/>
      <c r="H83" s="692"/>
      <c r="I83" s="692"/>
      <c r="J83" s="692"/>
      <c r="K83" s="692"/>
      <c r="L83" s="692"/>
      <c r="M83" s="692"/>
      <c r="N83" s="692"/>
      <c r="O83" s="168">
        <v>2100</v>
      </c>
      <c r="P83" s="692"/>
      <c r="Q83" s="692"/>
      <c r="R83" s="692"/>
      <c r="S83" s="291">
        <v>50107</v>
      </c>
      <c r="T83" s="115"/>
      <c r="U83" s="115"/>
      <c r="V83" s="115"/>
      <c r="W83" s="115"/>
      <c r="X83" s="115"/>
      <c r="Y83" s="115"/>
    </row>
    <row r="84" spans="1:25">
      <c r="A84" s="152">
        <v>44911</v>
      </c>
      <c r="B84" s="152"/>
      <c r="C84" s="700"/>
      <c r="D84" s="692"/>
      <c r="E84" s="692">
        <v>23.7</v>
      </c>
      <c r="F84" s="692"/>
      <c r="G84" s="692"/>
      <c r="H84" s="692"/>
      <c r="I84" s="692"/>
      <c r="J84" s="692"/>
      <c r="K84" s="692"/>
      <c r="L84" s="692"/>
      <c r="M84" s="692"/>
      <c r="N84" s="692"/>
      <c r="O84" s="692"/>
      <c r="P84" s="692"/>
      <c r="Q84" s="692"/>
      <c r="R84" s="692"/>
      <c r="S84" s="291">
        <v>50533</v>
      </c>
      <c r="T84" s="115"/>
      <c r="U84" s="115"/>
      <c r="V84" s="115"/>
      <c r="W84" s="115"/>
      <c r="X84" s="115"/>
      <c r="Y84" s="115"/>
    </row>
    <row r="85" spans="1:25">
      <c r="A85" s="152">
        <v>44911</v>
      </c>
      <c r="B85" s="152"/>
      <c r="C85" s="700"/>
      <c r="D85" s="692">
        <v>22.2</v>
      </c>
      <c r="E85" s="692"/>
      <c r="F85" s="692"/>
      <c r="G85" s="692"/>
      <c r="H85" s="692"/>
      <c r="I85" s="692"/>
      <c r="J85" s="692"/>
      <c r="K85" s="692"/>
      <c r="L85" s="692"/>
      <c r="M85" s="692"/>
      <c r="N85" s="692"/>
      <c r="O85" s="692"/>
      <c r="P85" s="692"/>
      <c r="Q85" s="692"/>
      <c r="R85" s="692"/>
      <c r="S85" s="291">
        <v>51044</v>
      </c>
      <c r="T85" s="115"/>
      <c r="U85" s="115"/>
      <c r="V85" s="115"/>
      <c r="W85" s="115"/>
      <c r="X85" s="115"/>
      <c r="Y85" s="115"/>
    </row>
    <row r="86" spans="1:25">
      <c r="A86" s="152">
        <v>44911</v>
      </c>
      <c r="B86" s="152"/>
      <c r="C86" s="700"/>
      <c r="D86" s="692">
        <v>21.8</v>
      </c>
      <c r="E86" s="692"/>
      <c r="F86" s="692"/>
      <c r="G86" s="692"/>
      <c r="H86" s="692"/>
      <c r="I86" s="692"/>
      <c r="J86" s="692"/>
      <c r="K86" s="692"/>
      <c r="L86" s="692"/>
      <c r="M86" s="692"/>
      <c r="N86" s="692"/>
      <c r="O86" s="692"/>
      <c r="P86" s="692"/>
      <c r="Q86" s="692"/>
      <c r="R86" s="692"/>
      <c r="S86" s="291">
        <v>51605</v>
      </c>
      <c r="T86" s="115"/>
      <c r="U86" s="115"/>
      <c r="V86" s="115"/>
      <c r="W86" s="115"/>
      <c r="X86" s="115"/>
      <c r="Y86" s="115"/>
    </row>
    <row r="87" spans="1:25">
      <c r="A87" s="152">
        <v>44911</v>
      </c>
      <c r="B87" s="152"/>
      <c r="C87" s="700"/>
      <c r="D87" s="692">
        <v>21.6</v>
      </c>
      <c r="E87" s="692"/>
      <c r="F87" s="692"/>
      <c r="G87" s="692"/>
      <c r="H87" s="692"/>
      <c r="I87" s="692"/>
      <c r="J87" s="692"/>
      <c r="K87" s="692"/>
      <c r="L87" s="692"/>
      <c r="M87" s="692"/>
      <c r="N87" s="692"/>
      <c r="O87" s="692"/>
      <c r="P87" s="692"/>
      <c r="Q87" s="692"/>
      <c r="R87" s="692"/>
      <c r="S87" s="291">
        <v>51715</v>
      </c>
      <c r="T87" s="115"/>
      <c r="U87" s="115"/>
      <c r="V87" s="115"/>
      <c r="W87" s="115"/>
      <c r="X87" s="115"/>
      <c r="Y87" s="115"/>
    </row>
    <row r="88" spans="1:25">
      <c r="A88" s="152">
        <v>44911</v>
      </c>
      <c r="B88" s="152"/>
      <c r="C88" s="700"/>
      <c r="D88" s="692">
        <v>21.4</v>
      </c>
      <c r="E88" s="692"/>
      <c r="F88" s="692"/>
      <c r="G88" s="692"/>
      <c r="H88" s="692"/>
      <c r="I88" s="692"/>
      <c r="J88" s="692"/>
      <c r="K88" s="692"/>
      <c r="L88" s="692"/>
      <c r="M88" s="692"/>
      <c r="N88" s="692"/>
      <c r="O88" s="692"/>
      <c r="P88" s="692"/>
      <c r="Q88" s="692"/>
      <c r="R88" s="692"/>
      <c r="S88" s="291">
        <v>51815</v>
      </c>
      <c r="T88" s="115"/>
      <c r="U88" s="115"/>
      <c r="V88" s="115"/>
      <c r="W88" s="115"/>
      <c r="X88" s="115"/>
      <c r="Y88" s="115"/>
    </row>
    <row r="89" spans="1:25">
      <c r="A89" s="152">
        <v>44911</v>
      </c>
      <c r="B89" s="152"/>
      <c r="C89" s="700"/>
      <c r="D89" s="692">
        <v>21.2</v>
      </c>
      <c r="E89" s="692"/>
      <c r="F89" s="692"/>
      <c r="G89" s="692"/>
      <c r="H89" s="692"/>
      <c r="I89" s="692"/>
      <c r="J89" s="692"/>
      <c r="K89" s="692"/>
      <c r="L89" s="692"/>
      <c r="M89" s="692"/>
      <c r="N89" s="692"/>
      <c r="O89" s="692"/>
      <c r="P89" s="692"/>
      <c r="Q89" s="692"/>
      <c r="R89" s="692"/>
      <c r="S89" s="291">
        <v>51930</v>
      </c>
      <c r="T89" s="115"/>
      <c r="U89" s="115"/>
      <c r="V89" s="115"/>
      <c r="W89" s="115"/>
      <c r="X89" s="115"/>
      <c r="Y89" s="115"/>
    </row>
    <row r="90" spans="1:25">
      <c r="A90" s="152">
        <v>44911</v>
      </c>
      <c r="B90" s="152"/>
      <c r="C90" s="700"/>
      <c r="D90" s="692">
        <v>21</v>
      </c>
      <c r="E90" s="692"/>
      <c r="F90" s="692"/>
      <c r="G90" s="692"/>
      <c r="H90" s="692"/>
      <c r="I90" s="692"/>
      <c r="J90" s="692"/>
      <c r="K90" s="692"/>
      <c r="L90" s="692"/>
      <c r="M90" s="692"/>
      <c r="N90" s="692"/>
      <c r="O90" s="692"/>
      <c r="P90" s="692"/>
      <c r="Q90" s="692"/>
      <c r="R90" s="692"/>
      <c r="S90" s="291">
        <v>52056</v>
      </c>
      <c r="T90" s="115"/>
      <c r="U90" s="115"/>
      <c r="V90" s="115"/>
      <c r="W90" s="115"/>
      <c r="X90" s="115"/>
      <c r="Y90" s="115"/>
    </row>
    <row r="91" spans="1:25">
      <c r="A91" s="152">
        <v>44911</v>
      </c>
      <c r="B91" s="152"/>
      <c r="C91" s="700"/>
      <c r="D91" s="692"/>
      <c r="E91" s="692">
        <v>23.9</v>
      </c>
      <c r="F91" s="692"/>
      <c r="G91" s="692"/>
      <c r="H91" s="692"/>
      <c r="I91" s="692"/>
      <c r="J91" s="692"/>
      <c r="K91" s="692"/>
      <c r="L91" s="692"/>
      <c r="M91" s="692"/>
      <c r="N91" s="692"/>
      <c r="O91" s="692"/>
      <c r="P91" s="692"/>
      <c r="Q91" s="692"/>
      <c r="R91" s="692"/>
      <c r="S91" s="291">
        <v>52311</v>
      </c>
      <c r="T91" s="115"/>
      <c r="U91" s="115"/>
      <c r="V91" s="115"/>
      <c r="W91" s="115"/>
      <c r="X91" s="115"/>
      <c r="Y91" s="115"/>
    </row>
    <row r="92" spans="1:25">
      <c r="A92" s="152">
        <v>44911</v>
      </c>
      <c r="B92" s="152"/>
      <c r="C92" s="700"/>
      <c r="D92" s="692"/>
      <c r="E92" s="692">
        <v>23.5</v>
      </c>
      <c r="F92" s="692"/>
      <c r="G92" s="692"/>
      <c r="H92" s="692"/>
      <c r="I92" s="692"/>
      <c r="J92" s="692"/>
      <c r="K92" s="692"/>
      <c r="L92" s="692"/>
      <c r="M92" s="692"/>
      <c r="N92" s="692"/>
      <c r="O92" s="692"/>
      <c r="P92" s="692"/>
      <c r="Q92" s="692"/>
      <c r="R92" s="692"/>
      <c r="S92" s="291">
        <v>52532</v>
      </c>
      <c r="T92" s="115"/>
      <c r="U92" s="115"/>
      <c r="V92" s="115"/>
      <c r="W92" s="115"/>
      <c r="X92" s="115"/>
      <c r="Y92" s="115"/>
    </row>
    <row r="93" spans="1:25">
      <c r="A93" s="152">
        <v>44911</v>
      </c>
      <c r="B93" s="152"/>
      <c r="C93" s="700"/>
      <c r="D93" s="692"/>
      <c r="E93" s="692">
        <v>23.3</v>
      </c>
      <c r="F93" s="692"/>
      <c r="G93" s="692"/>
      <c r="H93" s="692"/>
      <c r="I93" s="692"/>
      <c r="J93" s="692"/>
      <c r="K93" s="692"/>
      <c r="L93" s="692"/>
      <c r="M93" s="692"/>
      <c r="N93" s="692"/>
      <c r="O93" s="692"/>
      <c r="P93" s="692"/>
      <c r="Q93" s="692"/>
      <c r="R93" s="692"/>
      <c r="S93" s="291">
        <v>52647</v>
      </c>
      <c r="T93" s="115"/>
      <c r="U93" s="115"/>
      <c r="V93" s="115"/>
      <c r="W93" s="115"/>
      <c r="X93" s="115"/>
      <c r="Y93" s="115"/>
    </row>
    <row r="94" spans="1:25">
      <c r="A94" s="152">
        <v>44911</v>
      </c>
      <c r="B94" s="152"/>
      <c r="C94" s="700"/>
      <c r="D94" s="692"/>
      <c r="E94" s="692"/>
      <c r="F94" s="692"/>
      <c r="G94" s="692"/>
      <c r="H94" s="692"/>
      <c r="I94" s="692"/>
      <c r="J94" s="692"/>
      <c r="K94" s="692"/>
      <c r="L94" s="692"/>
      <c r="M94" s="692"/>
      <c r="N94" s="692"/>
      <c r="O94" s="692" t="s">
        <v>68</v>
      </c>
      <c r="P94" s="692"/>
      <c r="Q94" s="692"/>
      <c r="R94" s="692"/>
      <c r="S94" s="291">
        <v>52822</v>
      </c>
      <c r="T94" s="115"/>
      <c r="U94" s="115"/>
      <c r="V94" s="115"/>
      <c r="W94" s="115"/>
      <c r="X94" s="115"/>
      <c r="Y94" s="115"/>
    </row>
    <row r="95" spans="1:25">
      <c r="A95" s="152">
        <v>44911</v>
      </c>
      <c r="B95" s="152"/>
      <c r="C95" s="700"/>
      <c r="D95" s="692"/>
      <c r="E95" s="692"/>
      <c r="F95" s="692"/>
      <c r="G95" s="692"/>
      <c r="H95" s="692">
        <v>24.4</v>
      </c>
      <c r="I95" s="692">
        <v>23.2</v>
      </c>
      <c r="J95" s="692"/>
      <c r="K95" s="692"/>
      <c r="L95" s="692"/>
      <c r="M95" s="692"/>
      <c r="N95" s="692"/>
      <c r="O95" s="168">
        <v>2100</v>
      </c>
      <c r="P95" s="692"/>
      <c r="Q95" s="692"/>
      <c r="R95" s="692"/>
      <c r="S95" s="291">
        <v>54135</v>
      </c>
      <c r="T95" s="115"/>
      <c r="U95" s="115"/>
      <c r="V95" s="115"/>
      <c r="W95" s="115"/>
      <c r="X95" s="115"/>
      <c r="Y95" s="115"/>
    </row>
    <row r="96" spans="1:25">
      <c r="A96" s="152">
        <v>44911</v>
      </c>
      <c r="B96" s="152"/>
      <c r="C96" s="700"/>
      <c r="D96" s="692"/>
      <c r="E96" s="692"/>
      <c r="F96" s="692"/>
      <c r="G96" s="692"/>
      <c r="H96" s="692"/>
      <c r="I96" s="692"/>
      <c r="J96" s="692"/>
      <c r="K96" s="692"/>
      <c r="L96" s="692"/>
      <c r="M96" s="692"/>
      <c r="N96" s="692"/>
      <c r="O96" s="692" t="s">
        <v>490</v>
      </c>
      <c r="P96" s="692"/>
      <c r="Q96" s="692"/>
      <c r="R96" s="692"/>
      <c r="S96" s="291">
        <v>54506</v>
      </c>
      <c r="T96" s="115"/>
      <c r="U96" s="115"/>
      <c r="V96" s="115"/>
      <c r="W96" s="115"/>
      <c r="X96" s="115"/>
      <c r="Y96" s="115"/>
    </row>
    <row r="97" spans="1:25">
      <c r="A97" s="152">
        <v>44911</v>
      </c>
      <c r="B97" s="152"/>
      <c r="C97" s="700"/>
      <c r="D97" s="692">
        <v>21</v>
      </c>
      <c r="E97" s="692">
        <v>23.3</v>
      </c>
      <c r="F97" s="692">
        <v>20.5</v>
      </c>
      <c r="G97" s="692">
        <v>22.5</v>
      </c>
      <c r="H97" s="692">
        <v>24.4</v>
      </c>
      <c r="I97" s="692">
        <v>23.2</v>
      </c>
      <c r="J97" s="692"/>
      <c r="K97" s="692"/>
      <c r="L97" s="692"/>
      <c r="M97" s="692"/>
      <c r="N97" s="692"/>
      <c r="O97" s="168">
        <v>2100</v>
      </c>
      <c r="P97" s="692"/>
      <c r="Q97" s="692"/>
      <c r="R97" s="692"/>
      <c r="S97" s="291">
        <v>70420</v>
      </c>
      <c r="T97" s="115"/>
      <c r="U97" s="115"/>
      <c r="V97" s="115"/>
      <c r="W97" s="115"/>
      <c r="X97" s="115"/>
      <c r="Y97" s="115"/>
    </row>
    <row r="98" spans="1:25">
      <c r="A98" s="152">
        <v>44912</v>
      </c>
      <c r="B98" s="152"/>
      <c r="C98" s="700"/>
      <c r="D98" s="692">
        <v>21</v>
      </c>
      <c r="E98" s="692">
        <v>23.3</v>
      </c>
      <c r="F98" s="692">
        <v>21.1</v>
      </c>
      <c r="G98" s="692">
        <v>23.95</v>
      </c>
      <c r="H98" s="692"/>
      <c r="I98" s="692"/>
      <c r="J98" s="692"/>
      <c r="K98" s="692"/>
      <c r="L98" s="692"/>
      <c r="M98" s="692"/>
      <c r="N98" s="692"/>
      <c r="O98" s="692" t="s">
        <v>478</v>
      </c>
      <c r="P98" s="692"/>
      <c r="Q98" s="692"/>
      <c r="R98" s="692"/>
      <c r="S98" s="291">
        <v>20909</v>
      </c>
      <c r="T98" s="115"/>
      <c r="U98" s="115"/>
      <c r="V98" s="115"/>
      <c r="W98" s="115"/>
      <c r="X98" s="115"/>
      <c r="Y98" s="115"/>
    </row>
    <row r="99" spans="1:25">
      <c r="A99" s="152">
        <v>44912</v>
      </c>
      <c r="B99" s="152"/>
      <c r="C99" s="700"/>
      <c r="D99" s="692">
        <v>21</v>
      </c>
      <c r="E99" s="692">
        <v>23.3</v>
      </c>
      <c r="F99" s="692">
        <v>21.1</v>
      </c>
      <c r="G99" s="692">
        <v>24.7</v>
      </c>
      <c r="H99" s="692"/>
      <c r="I99" s="692"/>
      <c r="J99" s="692"/>
      <c r="K99" s="692"/>
      <c r="L99" s="692"/>
      <c r="M99" s="692"/>
      <c r="N99" s="692"/>
      <c r="O99" s="692" t="s">
        <v>491</v>
      </c>
      <c r="P99" s="692"/>
      <c r="Q99" s="692"/>
      <c r="R99" s="692"/>
      <c r="S99" s="291">
        <v>21621</v>
      </c>
      <c r="T99" s="115"/>
      <c r="U99" s="115"/>
      <c r="V99" s="115"/>
      <c r="W99" s="115"/>
      <c r="X99" s="115"/>
      <c r="Y99" s="115"/>
    </row>
    <row r="100" spans="1:25">
      <c r="A100" s="152">
        <v>44912</v>
      </c>
      <c r="B100" s="152"/>
      <c r="C100" s="700"/>
      <c r="D100" s="692">
        <v>21</v>
      </c>
      <c r="E100" s="692">
        <v>23.3</v>
      </c>
      <c r="F100" s="692">
        <v>21.1</v>
      </c>
      <c r="G100" s="692">
        <v>24.7</v>
      </c>
      <c r="H100" s="692"/>
      <c r="I100" s="692"/>
      <c r="J100" s="692"/>
      <c r="K100" s="692"/>
      <c r="L100" s="692"/>
      <c r="M100" s="692"/>
      <c r="N100" s="692"/>
      <c r="O100" s="168">
        <v>2100</v>
      </c>
      <c r="P100" s="692"/>
      <c r="Q100" s="692"/>
      <c r="R100" s="692"/>
      <c r="S100" s="291">
        <v>22629</v>
      </c>
      <c r="T100" s="115"/>
      <c r="U100" s="115"/>
      <c r="V100" s="115"/>
      <c r="W100" s="115"/>
      <c r="X100" s="115"/>
      <c r="Y100" s="115"/>
    </row>
    <row r="101" spans="1:25">
      <c r="A101" s="152">
        <v>44912</v>
      </c>
      <c r="B101" s="152"/>
      <c r="C101" s="700" t="s">
        <v>492</v>
      </c>
      <c r="D101" s="692">
        <v>21</v>
      </c>
      <c r="E101" s="692">
        <v>23.3</v>
      </c>
      <c r="F101" s="692">
        <v>21.1</v>
      </c>
      <c r="G101" s="692">
        <v>24.7</v>
      </c>
      <c r="H101" s="692"/>
      <c r="I101" s="692"/>
      <c r="J101" s="692"/>
      <c r="K101" s="692"/>
      <c r="L101" s="692"/>
      <c r="M101" s="692"/>
      <c r="N101" s="692"/>
      <c r="O101" s="692" t="s">
        <v>68</v>
      </c>
      <c r="P101" s="692"/>
      <c r="Q101" s="692"/>
      <c r="R101" s="692"/>
      <c r="S101" s="291">
        <v>23215</v>
      </c>
      <c r="T101" s="115"/>
      <c r="U101" s="115"/>
      <c r="V101" s="115"/>
      <c r="W101" s="115"/>
      <c r="X101" s="115"/>
      <c r="Y101" s="115"/>
    </row>
    <row r="102" spans="1:25">
      <c r="A102" s="152">
        <v>44912</v>
      </c>
      <c r="B102" s="152"/>
      <c r="C102" s="700" t="s">
        <v>493</v>
      </c>
      <c r="D102" s="692">
        <v>21.221</v>
      </c>
      <c r="E102" s="692">
        <v>22.896999999999998</v>
      </c>
      <c r="F102" s="692">
        <v>20.388999999999999</v>
      </c>
      <c r="G102" s="692">
        <v>24.884</v>
      </c>
      <c r="H102" s="692"/>
      <c r="I102" s="692"/>
      <c r="J102" s="692"/>
      <c r="K102" s="692"/>
      <c r="L102" s="692"/>
      <c r="M102" s="692"/>
      <c r="N102" s="692"/>
      <c r="O102" s="692" t="s">
        <v>68</v>
      </c>
      <c r="P102" s="692"/>
      <c r="Q102" s="692"/>
      <c r="R102" s="692"/>
      <c r="S102" s="291">
        <v>71359</v>
      </c>
      <c r="T102" s="115"/>
      <c r="U102" s="115"/>
      <c r="V102" s="115"/>
      <c r="W102" s="115"/>
      <c r="X102" s="115"/>
      <c r="Y102" s="115"/>
    </row>
    <row r="103" spans="1:25">
      <c r="A103" s="115"/>
      <c r="B103" s="115"/>
      <c r="C103" s="700"/>
      <c r="D103" s="692"/>
      <c r="E103" s="692"/>
      <c r="F103" s="692"/>
      <c r="G103" s="692"/>
      <c r="H103" s="692"/>
      <c r="I103" s="692"/>
      <c r="J103" s="692"/>
      <c r="K103" s="692"/>
      <c r="L103" s="692"/>
      <c r="M103" s="692"/>
      <c r="N103" s="692"/>
      <c r="O103" s="692"/>
      <c r="P103" s="692"/>
      <c r="Q103" s="692"/>
      <c r="R103" s="692"/>
      <c r="T103" s="115"/>
      <c r="U103" s="115"/>
      <c r="V103" s="115"/>
      <c r="W103" s="115"/>
      <c r="X103" s="115"/>
      <c r="Y103" s="115"/>
    </row>
    <row r="104" spans="1:25">
      <c r="A104" s="152">
        <v>44913</v>
      </c>
      <c r="B104" s="152"/>
      <c r="C104" s="700"/>
      <c r="D104" s="692">
        <v>21.221</v>
      </c>
      <c r="E104" s="692">
        <v>22.896999999999998</v>
      </c>
      <c r="F104" s="692">
        <v>20.388999999999999</v>
      </c>
      <c r="G104" s="692">
        <v>24.884</v>
      </c>
      <c r="H104" s="692">
        <v>24.4</v>
      </c>
      <c r="I104" s="692">
        <v>23.2</v>
      </c>
      <c r="J104" s="692"/>
      <c r="K104" s="692"/>
      <c r="L104" s="692"/>
      <c r="M104" s="692"/>
      <c r="N104" s="692"/>
      <c r="O104" s="168">
        <v>2100</v>
      </c>
      <c r="P104" s="692"/>
      <c r="Q104" s="692"/>
      <c r="R104" s="692"/>
      <c r="T104" s="115"/>
      <c r="U104" s="115"/>
      <c r="V104" s="115"/>
      <c r="W104" s="115"/>
      <c r="X104" s="115"/>
      <c r="Y104" s="115"/>
    </row>
    <row r="105" spans="1:25">
      <c r="A105" s="169">
        <v>44913</v>
      </c>
      <c r="B105" s="169"/>
      <c r="C105" s="700"/>
      <c r="D105" s="692">
        <v>21.221</v>
      </c>
      <c r="E105" s="692">
        <v>22.896999999999998</v>
      </c>
      <c r="F105" s="692">
        <v>20.388999999999999</v>
      </c>
      <c r="G105" s="692">
        <v>24.884</v>
      </c>
      <c r="H105" s="692">
        <v>24.4</v>
      </c>
      <c r="I105" s="692">
        <v>23.2</v>
      </c>
      <c r="J105" s="692"/>
      <c r="K105" s="692"/>
      <c r="L105" s="692"/>
      <c r="M105" s="692"/>
      <c r="N105" s="692"/>
      <c r="O105" s="168">
        <v>2118</v>
      </c>
      <c r="P105" s="692"/>
      <c r="Q105" s="692"/>
      <c r="R105" s="692"/>
      <c r="T105" s="115"/>
      <c r="U105" s="115"/>
      <c r="V105" s="115"/>
      <c r="W105" s="115"/>
      <c r="X105" s="115"/>
      <c r="Y105" s="115"/>
    </row>
    <row r="106" spans="1:25">
      <c r="A106" s="169">
        <v>44913</v>
      </c>
      <c r="B106" s="169"/>
      <c r="C106" s="700"/>
      <c r="D106" s="692">
        <v>21.221</v>
      </c>
      <c r="E106" s="692">
        <v>22.896999999999998</v>
      </c>
      <c r="F106" s="692">
        <v>20.388999999999999</v>
      </c>
      <c r="G106" s="692">
        <v>24.884</v>
      </c>
      <c r="H106" s="692">
        <v>24.4</v>
      </c>
      <c r="I106" s="692">
        <v>23.2</v>
      </c>
      <c r="J106" s="692"/>
      <c r="K106" s="692"/>
      <c r="L106" s="692"/>
      <c r="M106" s="692"/>
      <c r="N106" s="692"/>
      <c r="O106" s="168" t="s">
        <v>65</v>
      </c>
      <c r="P106" s="692"/>
      <c r="Q106" s="692"/>
      <c r="R106" s="692"/>
      <c r="S106" s="291">
        <v>92852</v>
      </c>
      <c r="T106" s="115"/>
      <c r="U106" s="115"/>
      <c r="V106" s="115"/>
      <c r="W106" s="115"/>
      <c r="X106" s="115"/>
      <c r="Y106" s="115"/>
    </row>
    <row r="107" spans="1:25">
      <c r="A107" s="169">
        <v>44913</v>
      </c>
      <c r="B107" s="169"/>
      <c r="C107" s="700"/>
      <c r="D107" s="692">
        <v>21.321000000000002</v>
      </c>
      <c r="E107" s="692">
        <v>23</v>
      </c>
      <c r="F107" s="692">
        <v>20.5</v>
      </c>
      <c r="G107" s="692">
        <v>24.9</v>
      </c>
      <c r="H107" s="692">
        <v>24.4</v>
      </c>
      <c r="I107" s="692">
        <v>23.2</v>
      </c>
      <c r="J107" s="692"/>
      <c r="K107" s="692"/>
      <c r="L107" s="692"/>
      <c r="M107" s="692"/>
      <c r="N107" s="692"/>
      <c r="O107" s="170">
        <v>2118</v>
      </c>
      <c r="P107" s="692"/>
      <c r="Q107" s="692"/>
      <c r="R107" s="692"/>
      <c r="S107" s="291">
        <v>13149</v>
      </c>
      <c r="T107" s="115"/>
      <c r="U107" s="115"/>
      <c r="V107" s="115"/>
      <c r="W107" s="115"/>
      <c r="X107" s="115"/>
      <c r="Y107" s="115"/>
    </row>
    <row r="108" spans="1:25">
      <c r="A108" s="169">
        <v>44913</v>
      </c>
      <c r="B108" s="169"/>
      <c r="C108" s="700"/>
      <c r="D108" s="692">
        <v>21.321000000000002</v>
      </c>
      <c r="E108" s="692">
        <v>23</v>
      </c>
      <c r="F108" s="692">
        <v>20.5</v>
      </c>
      <c r="G108" s="692">
        <v>24.9</v>
      </c>
      <c r="H108" s="692">
        <v>24.4</v>
      </c>
      <c r="I108" s="692">
        <v>23.2</v>
      </c>
      <c r="J108" s="692"/>
      <c r="K108" s="692"/>
      <c r="L108" s="692"/>
      <c r="M108" s="692"/>
      <c r="N108" s="692"/>
      <c r="O108" s="170">
        <v>2118</v>
      </c>
      <c r="P108" s="692"/>
      <c r="Q108" s="692"/>
      <c r="R108" s="692"/>
      <c r="T108" s="115"/>
      <c r="U108" s="115">
        <v>-1.0800000000000001E-2</v>
      </c>
      <c r="V108" s="115">
        <v>0.1237</v>
      </c>
      <c r="W108" s="115"/>
      <c r="X108" s="115"/>
      <c r="Y108" s="115"/>
    </row>
    <row r="109" spans="1:25">
      <c r="A109" s="115"/>
      <c r="B109" s="115"/>
      <c r="C109" s="700"/>
      <c r="D109" s="692"/>
      <c r="E109" s="692"/>
      <c r="F109" s="692">
        <v>20.51</v>
      </c>
      <c r="G109" s="692"/>
      <c r="H109" s="692"/>
      <c r="I109" s="692"/>
      <c r="J109" s="692"/>
      <c r="K109" s="692"/>
      <c r="L109" s="692"/>
      <c r="M109" s="692"/>
      <c r="N109" s="692"/>
      <c r="O109" s="692"/>
      <c r="P109" s="692"/>
      <c r="Q109" s="692"/>
      <c r="R109" s="692"/>
      <c r="T109" s="115"/>
      <c r="U109" s="115">
        <v>-9.1000000000000004E-3</v>
      </c>
      <c r="V109" s="115">
        <v>0.1119</v>
      </c>
      <c r="W109" s="115"/>
      <c r="X109" s="115"/>
      <c r="Y109" s="115"/>
    </row>
    <row r="110" spans="1:25">
      <c r="A110" s="115"/>
      <c r="B110" s="115"/>
      <c r="C110" s="700"/>
      <c r="D110" s="692"/>
      <c r="E110" s="692"/>
      <c r="F110" s="692">
        <v>20.56</v>
      </c>
      <c r="G110" s="692"/>
      <c r="H110" s="692"/>
      <c r="I110" s="692"/>
      <c r="J110" s="692"/>
      <c r="K110" s="692"/>
      <c r="L110" s="692"/>
      <c r="M110" s="692"/>
      <c r="N110" s="692"/>
      <c r="O110" s="692"/>
      <c r="P110" s="692"/>
      <c r="Q110" s="692"/>
      <c r="R110" s="692"/>
      <c r="T110" s="115"/>
      <c r="U110" s="115">
        <v>-9.4000000000000004E-3</v>
      </c>
      <c r="V110" s="115">
        <v>5.11E-2</v>
      </c>
      <c r="W110" s="115"/>
      <c r="X110" s="115"/>
      <c r="Y110" s="115"/>
    </row>
    <row r="111" spans="1:25" ht="20.45">
      <c r="A111" s="169">
        <v>44913</v>
      </c>
      <c r="B111" s="169"/>
      <c r="C111" s="700" t="s">
        <v>494</v>
      </c>
      <c r="D111" s="692">
        <v>21.321000000000002</v>
      </c>
      <c r="E111" s="692">
        <v>23</v>
      </c>
      <c r="F111" s="692">
        <v>20.61</v>
      </c>
      <c r="G111" s="692">
        <v>24.9</v>
      </c>
      <c r="H111" s="692">
        <v>24.4</v>
      </c>
      <c r="I111" s="692">
        <v>23.2</v>
      </c>
      <c r="J111" s="692"/>
      <c r="K111" s="692"/>
      <c r="L111" s="692"/>
      <c r="M111" s="692"/>
      <c r="N111" s="692"/>
      <c r="O111" s="170" t="s">
        <v>65</v>
      </c>
      <c r="P111" s="692">
        <v>5000</v>
      </c>
      <c r="Q111" s="692"/>
      <c r="R111" s="692"/>
      <c r="S111" s="291">
        <v>40344</v>
      </c>
      <c r="T111" s="115"/>
      <c r="U111" s="115">
        <v>-9.7999999999999997E-3</v>
      </c>
      <c r="V111" s="115">
        <v>-1.3100000000000001E-2</v>
      </c>
      <c r="W111" s="115"/>
      <c r="X111" s="115"/>
      <c r="Y111" s="115"/>
    </row>
    <row r="112" spans="1:25">
      <c r="A112" s="169">
        <v>44913</v>
      </c>
      <c r="B112" s="169"/>
      <c r="C112" s="700" t="s">
        <v>495</v>
      </c>
      <c r="D112" s="692">
        <v>21.321000000000002</v>
      </c>
      <c r="E112" s="692">
        <v>23</v>
      </c>
      <c r="F112" s="692">
        <v>20.61</v>
      </c>
      <c r="G112" s="692">
        <v>24.9</v>
      </c>
      <c r="H112" s="692">
        <v>24.4</v>
      </c>
      <c r="I112" s="692">
        <v>23.45</v>
      </c>
      <c r="J112" s="692"/>
      <c r="K112" s="692"/>
      <c r="L112" s="692"/>
      <c r="M112" s="692"/>
      <c r="N112" s="692"/>
      <c r="O112" s="170" t="s">
        <v>65</v>
      </c>
      <c r="P112" s="692">
        <v>250</v>
      </c>
      <c r="Q112" s="692"/>
      <c r="R112" s="692"/>
      <c r="S112" s="291">
        <v>40312</v>
      </c>
      <c r="T112" s="115"/>
      <c r="U112" s="115"/>
      <c r="V112" s="115"/>
      <c r="W112" s="115"/>
      <c r="X112" s="115"/>
      <c r="Y112" s="115"/>
    </row>
    <row r="113" spans="1:26">
      <c r="A113" s="169">
        <v>44913</v>
      </c>
      <c r="B113" s="169"/>
      <c r="C113" s="700"/>
      <c r="D113" s="692">
        <v>21.071000000000002</v>
      </c>
      <c r="E113" s="692">
        <v>22.8</v>
      </c>
      <c r="F113" s="692">
        <v>20.51</v>
      </c>
      <c r="G113" s="692">
        <v>24.85</v>
      </c>
      <c r="H113" s="692"/>
      <c r="I113" s="692"/>
      <c r="J113" s="692"/>
      <c r="K113" s="692"/>
      <c r="L113" s="692"/>
      <c r="M113" s="692"/>
      <c r="N113" s="692"/>
      <c r="O113" s="692"/>
      <c r="P113" s="692"/>
      <c r="Q113" s="692"/>
      <c r="R113" s="692"/>
      <c r="S113" s="291">
        <v>65041</v>
      </c>
      <c r="T113" s="115"/>
      <c r="U113" s="115"/>
      <c r="V113" s="115"/>
      <c r="W113" s="115"/>
      <c r="X113" s="115"/>
      <c r="Y113" s="115"/>
    </row>
    <row r="114" spans="1:26" ht="20.45">
      <c r="A114" s="169">
        <v>44913</v>
      </c>
      <c r="B114" s="169"/>
      <c r="C114" s="700" t="s">
        <v>496</v>
      </c>
      <c r="D114" s="692">
        <v>21.071000000000002</v>
      </c>
      <c r="E114" s="692">
        <v>22.8</v>
      </c>
      <c r="F114" s="692">
        <v>20.25</v>
      </c>
      <c r="G114" s="692">
        <v>24.65</v>
      </c>
      <c r="H114" s="692"/>
      <c r="I114" s="692"/>
      <c r="J114" s="692"/>
      <c r="K114" s="692"/>
      <c r="L114" s="692"/>
      <c r="M114" s="692"/>
      <c r="N114" s="692"/>
      <c r="O114" s="168" t="s">
        <v>345</v>
      </c>
      <c r="P114" s="692"/>
      <c r="Q114" s="692"/>
      <c r="R114" s="692"/>
      <c r="S114" s="291">
        <v>65646</v>
      </c>
      <c r="T114" s="115"/>
      <c r="U114" s="115"/>
      <c r="V114" s="115"/>
      <c r="W114" s="115"/>
      <c r="X114" s="115"/>
      <c r="Y114" s="115"/>
    </row>
    <row r="115" spans="1:26">
      <c r="A115" s="169">
        <v>44913</v>
      </c>
      <c r="B115" s="169"/>
      <c r="C115" s="700"/>
      <c r="D115" s="692">
        <v>21.120999999999999</v>
      </c>
      <c r="E115" s="692"/>
      <c r="F115" s="692"/>
      <c r="G115" s="692">
        <v>24.7</v>
      </c>
      <c r="H115" s="692"/>
      <c r="I115" s="692"/>
      <c r="J115" s="692"/>
      <c r="K115" s="692"/>
      <c r="L115" s="692"/>
      <c r="M115" s="692"/>
      <c r="N115" s="692"/>
      <c r="O115" s="692" t="s">
        <v>65</v>
      </c>
      <c r="P115" s="692"/>
      <c r="Q115" s="692"/>
      <c r="R115" s="692"/>
      <c r="S115" s="291">
        <v>65913</v>
      </c>
      <c r="T115" s="115"/>
      <c r="U115" s="115"/>
      <c r="V115" s="115"/>
      <c r="W115" s="115"/>
      <c r="X115" s="115"/>
      <c r="Y115" s="115"/>
    </row>
    <row r="116" spans="1:26">
      <c r="A116" s="169">
        <v>44913</v>
      </c>
      <c r="B116" s="169"/>
      <c r="C116" s="700"/>
      <c r="D116" s="692">
        <v>21.170999999999999</v>
      </c>
      <c r="E116" s="692"/>
      <c r="F116" s="692"/>
      <c r="G116" s="692">
        <v>24.75</v>
      </c>
      <c r="H116" s="692"/>
      <c r="I116" s="692"/>
      <c r="J116" s="692"/>
      <c r="K116" s="692"/>
      <c r="L116" s="692"/>
      <c r="M116" s="692"/>
      <c r="N116" s="692"/>
      <c r="O116" s="692"/>
      <c r="P116" s="692"/>
      <c r="Q116" s="692"/>
      <c r="R116" s="692"/>
      <c r="T116" s="115"/>
      <c r="U116" s="115"/>
      <c r="V116" s="115"/>
      <c r="W116" s="115"/>
      <c r="X116" s="115"/>
      <c r="Y116" s="115"/>
    </row>
    <row r="117" spans="1:26">
      <c r="A117" s="169">
        <v>44913</v>
      </c>
      <c r="B117" s="169"/>
      <c r="C117" s="700"/>
      <c r="D117" s="692">
        <v>21.271000000000001</v>
      </c>
      <c r="E117" s="692"/>
      <c r="F117" s="692"/>
      <c r="G117" s="692">
        <v>24.83</v>
      </c>
      <c r="H117" s="692"/>
      <c r="I117" s="692"/>
      <c r="J117" s="692"/>
      <c r="K117" s="692"/>
      <c r="L117" s="692"/>
      <c r="M117" s="692"/>
      <c r="N117" s="692"/>
      <c r="O117" s="692"/>
      <c r="P117" s="692"/>
      <c r="Q117" s="692"/>
      <c r="R117" s="692"/>
      <c r="T117" s="115"/>
      <c r="U117" s="115"/>
      <c r="V117" s="115"/>
      <c r="W117" s="115"/>
      <c r="X117" s="115"/>
      <c r="Y117" s="115"/>
    </row>
    <row r="118" spans="1:26" ht="20.45">
      <c r="A118" s="169">
        <v>44913</v>
      </c>
      <c r="B118" s="169"/>
      <c r="C118" s="700" t="s">
        <v>497</v>
      </c>
      <c r="D118" s="692">
        <v>21.670999999999999</v>
      </c>
      <c r="E118" s="692">
        <v>23.1</v>
      </c>
      <c r="F118" s="692">
        <v>20.7</v>
      </c>
      <c r="G118" s="692">
        <v>25.23</v>
      </c>
      <c r="H118" s="692"/>
      <c r="I118" s="692"/>
      <c r="J118" s="692"/>
      <c r="K118" s="692"/>
      <c r="L118" s="692"/>
      <c r="M118" s="692"/>
      <c r="N118" s="692"/>
      <c r="O118" s="692" t="s">
        <v>65</v>
      </c>
      <c r="P118" s="692"/>
      <c r="Q118" s="692"/>
      <c r="R118" s="692"/>
      <c r="S118" s="291">
        <v>75319</v>
      </c>
      <c r="T118" s="115"/>
      <c r="U118" s="115"/>
      <c r="V118" s="115"/>
      <c r="W118" s="115"/>
      <c r="X118" s="115"/>
      <c r="Y118" s="115"/>
    </row>
    <row r="119" spans="1:26">
      <c r="A119" s="169">
        <v>44913</v>
      </c>
      <c r="B119" s="169"/>
      <c r="C119" s="700" t="s">
        <v>498</v>
      </c>
      <c r="D119" s="692">
        <v>21.670999999999999</v>
      </c>
      <c r="E119" s="692"/>
      <c r="F119" s="692">
        <v>20.7</v>
      </c>
      <c r="G119" s="692">
        <v>25.23</v>
      </c>
      <c r="H119" s="692"/>
      <c r="I119" s="692"/>
      <c r="J119" s="692"/>
      <c r="K119" s="692"/>
      <c r="L119" s="692"/>
      <c r="M119" s="692"/>
      <c r="N119" s="692"/>
      <c r="O119" s="692" t="s">
        <v>51</v>
      </c>
      <c r="P119" s="692"/>
      <c r="Q119" s="692"/>
      <c r="R119" s="692"/>
      <c r="S119" s="291">
        <v>93544</v>
      </c>
      <c r="T119" s="115"/>
      <c r="U119" s="115"/>
      <c r="V119" s="115"/>
      <c r="W119" s="115"/>
      <c r="X119" s="115"/>
      <c r="Y119" s="115"/>
    </row>
    <row r="120" spans="1:26">
      <c r="A120" s="169">
        <v>44913</v>
      </c>
      <c r="B120" s="169"/>
      <c r="C120" s="700" t="s">
        <v>499</v>
      </c>
      <c r="D120" s="692">
        <v>21.670999999999999</v>
      </c>
      <c r="E120" s="692">
        <v>23</v>
      </c>
      <c r="F120" s="692">
        <v>20.7</v>
      </c>
      <c r="G120" s="692">
        <v>25.23</v>
      </c>
      <c r="H120" s="692"/>
      <c r="I120" s="692"/>
      <c r="J120" s="692"/>
      <c r="K120" s="692"/>
      <c r="L120" s="692"/>
      <c r="M120" s="692"/>
      <c r="N120" s="692"/>
      <c r="O120" s="692" t="s">
        <v>51</v>
      </c>
      <c r="P120" s="692"/>
      <c r="Q120" s="692"/>
      <c r="R120" s="692"/>
      <c r="S120" s="291">
        <v>95352</v>
      </c>
      <c r="T120" s="115"/>
      <c r="U120" s="115"/>
      <c r="V120" s="115"/>
      <c r="W120" s="115"/>
      <c r="X120" s="115"/>
      <c r="Y120" s="115"/>
    </row>
    <row r="121" spans="1:26" ht="20.45">
      <c r="A121" s="169">
        <v>44913</v>
      </c>
      <c r="B121" s="169"/>
      <c r="C121" s="700" t="s">
        <v>500</v>
      </c>
      <c r="D121" s="692">
        <v>21.670999999999999</v>
      </c>
      <c r="E121" s="692">
        <v>23</v>
      </c>
      <c r="F121" s="692">
        <v>20.7</v>
      </c>
      <c r="G121" s="692">
        <v>25.23</v>
      </c>
      <c r="H121" s="692">
        <v>24.344999999999999</v>
      </c>
      <c r="I121" s="692">
        <v>24.445</v>
      </c>
      <c r="J121" s="692"/>
      <c r="K121" s="692"/>
      <c r="L121" s="692"/>
      <c r="M121" s="692"/>
      <c r="N121" s="692"/>
      <c r="O121" s="692"/>
      <c r="P121" s="692"/>
      <c r="Q121" s="692"/>
      <c r="R121" s="692"/>
      <c r="T121" s="115"/>
      <c r="U121" s="115"/>
      <c r="V121" s="115"/>
      <c r="W121" s="115"/>
      <c r="X121" s="115"/>
      <c r="Y121" s="115"/>
    </row>
    <row r="122" spans="1:26">
      <c r="A122" s="115"/>
      <c r="B122" s="115"/>
      <c r="C122" s="700"/>
      <c r="D122" s="692"/>
      <c r="E122" s="692"/>
      <c r="F122" s="692"/>
      <c r="G122" s="692"/>
      <c r="H122" s="692"/>
      <c r="I122" s="692"/>
      <c r="J122" s="692"/>
      <c r="K122" s="692"/>
      <c r="L122" s="692"/>
      <c r="M122" s="692"/>
      <c r="N122" s="692"/>
      <c r="O122" s="692"/>
      <c r="P122" s="692"/>
      <c r="Q122" s="692"/>
      <c r="R122" s="692"/>
      <c r="T122" s="115"/>
      <c r="U122" s="115"/>
      <c r="V122" s="115"/>
      <c r="W122" s="115"/>
      <c r="X122" s="115"/>
      <c r="Y122" s="115"/>
    </row>
    <row r="123" spans="1:26" ht="20.45">
      <c r="A123" s="169">
        <v>44932</v>
      </c>
      <c r="B123" s="169"/>
      <c r="C123" s="700" t="s">
        <v>501</v>
      </c>
      <c r="D123" s="692">
        <v>21.670999999999999</v>
      </c>
      <c r="E123" s="692">
        <v>23</v>
      </c>
      <c r="F123" s="692">
        <v>20.7</v>
      </c>
      <c r="G123" s="692">
        <v>25.23</v>
      </c>
      <c r="H123" s="692">
        <v>23.2</v>
      </c>
      <c r="I123" s="692">
        <v>23.8</v>
      </c>
      <c r="J123" s="692"/>
      <c r="K123" s="692"/>
      <c r="L123" s="692"/>
      <c r="M123" s="692"/>
      <c r="N123" s="692"/>
      <c r="O123" s="168">
        <v>2115</v>
      </c>
      <c r="P123" s="692">
        <v>500</v>
      </c>
      <c r="Q123" s="692"/>
      <c r="R123" s="692"/>
      <c r="S123" s="291">
        <v>62847</v>
      </c>
      <c r="T123" s="115"/>
      <c r="U123" s="115"/>
      <c r="V123" s="115"/>
      <c r="W123" s="115"/>
      <c r="X123" s="115"/>
      <c r="Y123" s="115"/>
    </row>
    <row r="124" spans="1:26">
      <c r="A124" s="169">
        <v>44932</v>
      </c>
      <c r="B124" s="169"/>
      <c r="C124" s="700" t="s">
        <v>502</v>
      </c>
      <c r="D124" s="692">
        <v>21.65</v>
      </c>
      <c r="E124" s="692">
        <v>23</v>
      </c>
      <c r="F124" s="692">
        <v>20.6</v>
      </c>
      <c r="G124" s="692">
        <v>25.23</v>
      </c>
      <c r="H124" s="692"/>
      <c r="I124" s="692"/>
      <c r="J124" s="692"/>
      <c r="K124" s="692"/>
      <c r="L124" s="692"/>
      <c r="M124" s="692"/>
      <c r="N124" s="692"/>
      <c r="O124" s="692" t="s">
        <v>51</v>
      </c>
      <c r="P124" s="692"/>
      <c r="Q124" s="692"/>
      <c r="R124" s="692"/>
      <c r="T124" s="115"/>
      <c r="U124" s="115"/>
      <c r="V124" s="115"/>
      <c r="W124" s="115"/>
      <c r="X124" s="115"/>
      <c r="Y124" s="115"/>
    </row>
    <row r="125" spans="1:26" s="174" customFormat="1" ht="20.45">
      <c r="A125" s="171">
        <v>44932</v>
      </c>
      <c r="B125" s="171"/>
      <c r="C125" s="266" t="s">
        <v>503</v>
      </c>
      <c r="D125" s="172">
        <v>21.65</v>
      </c>
      <c r="E125" s="172">
        <v>23</v>
      </c>
      <c r="F125" s="172">
        <v>20.6</v>
      </c>
      <c r="G125" s="172">
        <v>25.23</v>
      </c>
      <c r="H125" s="172">
        <v>24.4</v>
      </c>
      <c r="I125" s="172">
        <v>23.45</v>
      </c>
      <c r="J125" s="172"/>
      <c r="K125" s="172"/>
      <c r="L125" s="172"/>
      <c r="M125" s="172"/>
      <c r="N125" s="172"/>
      <c r="O125" s="172"/>
      <c r="P125" s="172"/>
      <c r="Q125" s="172"/>
      <c r="R125" s="172"/>
      <c r="S125" s="295"/>
      <c r="T125" s="119"/>
      <c r="U125" s="119"/>
      <c r="V125" s="119"/>
      <c r="W125" s="119"/>
      <c r="X125" s="119"/>
      <c r="Y125" s="119"/>
      <c r="Z125" s="173"/>
    </row>
    <row r="126" spans="1:26" ht="20.45">
      <c r="A126" s="169">
        <v>44932</v>
      </c>
      <c r="B126" s="169"/>
      <c r="C126" s="700" t="s">
        <v>504</v>
      </c>
      <c r="D126" s="692">
        <v>21.65</v>
      </c>
      <c r="E126" s="692">
        <v>23</v>
      </c>
      <c r="F126" s="692">
        <v>20.6</v>
      </c>
      <c r="G126" s="692">
        <v>25.23</v>
      </c>
      <c r="H126" s="692">
        <v>24.4</v>
      </c>
      <c r="I126" s="692">
        <v>23.45</v>
      </c>
      <c r="J126" s="692"/>
      <c r="K126" s="692"/>
      <c r="L126" s="692"/>
      <c r="M126" s="692"/>
      <c r="N126" s="692"/>
      <c r="O126" s="168">
        <v>2115</v>
      </c>
      <c r="P126" s="692">
        <v>5000</v>
      </c>
      <c r="Q126" s="692"/>
      <c r="R126" s="692"/>
      <c r="S126" s="291">
        <v>80437</v>
      </c>
      <c r="T126" s="115"/>
      <c r="U126" s="115"/>
      <c r="V126" s="115"/>
      <c r="W126" s="115"/>
      <c r="X126" s="115"/>
      <c r="Y126" s="115"/>
    </row>
    <row r="127" spans="1:26" ht="20.45">
      <c r="A127" s="169">
        <v>44932</v>
      </c>
      <c r="B127" s="169"/>
      <c r="C127" s="700" t="s">
        <v>505</v>
      </c>
      <c r="D127" s="692">
        <v>21.65</v>
      </c>
      <c r="E127" s="692">
        <v>23</v>
      </c>
      <c r="F127" s="692">
        <v>20.6</v>
      </c>
      <c r="G127" s="692">
        <v>25.23</v>
      </c>
      <c r="H127" s="692">
        <v>24.4</v>
      </c>
      <c r="I127" s="692">
        <v>23.45</v>
      </c>
      <c r="J127" s="692"/>
      <c r="K127" s="692"/>
      <c r="L127" s="692"/>
      <c r="M127" s="692"/>
      <c r="N127" s="692"/>
      <c r="O127" s="692" t="s">
        <v>51</v>
      </c>
      <c r="P127" s="692">
        <v>5000</v>
      </c>
      <c r="Q127" s="692"/>
      <c r="R127" s="692"/>
      <c r="S127" s="291">
        <v>80832</v>
      </c>
      <c r="T127" s="115"/>
      <c r="U127" s="115"/>
      <c r="V127" s="115"/>
      <c r="W127" s="115"/>
      <c r="X127" s="115"/>
      <c r="Y127" s="115"/>
    </row>
    <row r="128" spans="1:26" ht="20.45">
      <c r="A128" s="169">
        <v>44932</v>
      </c>
      <c r="B128" s="169"/>
      <c r="C128" s="700" t="s">
        <v>506</v>
      </c>
      <c r="D128" s="692">
        <v>21.65</v>
      </c>
      <c r="E128" s="692">
        <v>23</v>
      </c>
      <c r="F128" s="692">
        <v>20.6</v>
      </c>
      <c r="G128" s="692">
        <v>25.23</v>
      </c>
      <c r="H128" s="692">
        <v>24.4</v>
      </c>
      <c r="I128" s="692">
        <v>23.45</v>
      </c>
      <c r="J128" s="692"/>
      <c r="K128" s="692"/>
      <c r="L128" s="692"/>
      <c r="M128" s="692"/>
      <c r="N128" s="692"/>
      <c r="O128" s="692" t="s">
        <v>345</v>
      </c>
      <c r="P128" s="692">
        <v>5000</v>
      </c>
      <c r="Q128" s="692"/>
      <c r="R128" s="692"/>
      <c r="S128" s="291">
        <v>83154</v>
      </c>
      <c r="T128" s="115"/>
      <c r="U128" s="115"/>
      <c r="V128" s="115"/>
      <c r="W128" s="115"/>
      <c r="X128" s="115"/>
      <c r="Y128" s="115"/>
    </row>
    <row r="129" spans="1:26">
      <c r="A129" s="169">
        <v>44932</v>
      </c>
      <c r="B129" s="169"/>
      <c r="C129" s="700" t="s">
        <v>507</v>
      </c>
      <c r="D129" s="692">
        <v>21.65</v>
      </c>
      <c r="E129" s="692">
        <v>23</v>
      </c>
      <c r="F129" s="692">
        <v>20.6</v>
      </c>
      <c r="G129" s="692">
        <v>25.23</v>
      </c>
      <c r="H129" s="692">
        <v>24.4</v>
      </c>
      <c r="I129" s="692">
        <v>23.45</v>
      </c>
      <c r="J129" s="692"/>
      <c r="K129" s="692"/>
      <c r="L129" s="692"/>
      <c r="M129" s="692"/>
      <c r="N129" s="692"/>
      <c r="O129" s="692" t="s">
        <v>51</v>
      </c>
      <c r="P129" s="692">
        <v>5000</v>
      </c>
      <c r="Q129" s="692"/>
      <c r="R129" s="692"/>
      <c r="S129" s="291">
        <v>83504</v>
      </c>
      <c r="T129" s="115"/>
      <c r="U129" s="115"/>
      <c r="V129" s="115"/>
      <c r="W129" s="115"/>
      <c r="X129" s="115"/>
      <c r="Y129" s="115"/>
    </row>
    <row r="130" spans="1:26">
      <c r="A130" s="169">
        <v>44932</v>
      </c>
      <c r="B130" s="169"/>
      <c r="C130" s="700"/>
      <c r="D130" s="692">
        <v>21.65</v>
      </c>
      <c r="E130" s="692">
        <v>23</v>
      </c>
      <c r="F130" s="692">
        <v>20.6</v>
      </c>
      <c r="G130" s="692">
        <v>25.23</v>
      </c>
      <c r="H130" s="692">
        <v>24.4</v>
      </c>
      <c r="I130" s="692">
        <v>23.45</v>
      </c>
      <c r="J130" s="692"/>
      <c r="K130" s="692"/>
      <c r="L130" s="692"/>
      <c r="M130" s="692"/>
      <c r="N130" s="692"/>
      <c r="O130" s="692" t="s">
        <v>40</v>
      </c>
      <c r="P130" s="692">
        <v>5000</v>
      </c>
      <c r="Q130" s="692"/>
      <c r="R130" s="692"/>
      <c r="S130" s="291">
        <v>83655</v>
      </c>
      <c r="T130" s="115"/>
      <c r="U130" s="115"/>
      <c r="V130" s="115"/>
      <c r="W130" s="115"/>
      <c r="X130" s="115"/>
      <c r="Y130" s="115"/>
    </row>
    <row r="131" spans="1:26" s="177" customFormat="1">
      <c r="A131" s="169">
        <v>44932</v>
      </c>
      <c r="B131" s="169"/>
      <c r="C131" s="267"/>
      <c r="D131" s="692">
        <v>21.65</v>
      </c>
      <c r="E131" s="692">
        <v>23</v>
      </c>
      <c r="F131" s="692">
        <v>20.6</v>
      </c>
      <c r="G131" s="692">
        <v>25.23</v>
      </c>
      <c r="H131" s="692">
        <v>24.4</v>
      </c>
      <c r="I131" s="692">
        <v>23.45</v>
      </c>
      <c r="J131" s="692"/>
      <c r="K131" s="692"/>
      <c r="L131" s="692"/>
      <c r="M131" s="692"/>
      <c r="N131" s="692"/>
      <c r="O131" s="175" t="s">
        <v>508</v>
      </c>
      <c r="P131" s="692">
        <v>5000</v>
      </c>
      <c r="Q131" s="175"/>
      <c r="R131" s="175"/>
      <c r="S131" s="296">
        <v>83745</v>
      </c>
      <c r="T131" s="120"/>
      <c r="U131" s="120"/>
      <c r="V131" s="120"/>
      <c r="W131" s="120"/>
      <c r="X131" s="120"/>
      <c r="Y131" s="120"/>
      <c r="Z131" s="176"/>
    </row>
    <row r="132" spans="1:26">
      <c r="A132" s="169">
        <v>44932</v>
      </c>
      <c r="B132" s="169"/>
      <c r="C132" s="700"/>
      <c r="D132" s="692">
        <v>21.65</v>
      </c>
      <c r="E132" s="692">
        <v>23</v>
      </c>
      <c r="F132" s="692">
        <v>20.6</v>
      </c>
      <c r="G132" s="692">
        <v>25.23</v>
      </c>
      <c r="H132" s="692">
        <v>24.4</v>
      </c>
      <c r="I132" s="692">
        <v>23.45</v>
      </c>
      <c r="J132" s="692"/>
      <c r="K132" s="692"/>
      <c r="L132" s="692"/>
      <c r="M132" s="692"/>
      <c r="N132" s="692"/>
      <c r="O132" s="692" t="s">
        <v>509</v>
      </c>
      <c r="P132" s="692">
        <v>5000</v>
      </c>
      <c r="Q132" s="692"/>
      <c r="R132" s="692"/>
      <c r="S132" s="291">
        <v>84206</v>
      </c>
      <c r="T132" s="115"/>
      <c r="U132" s="115"/>
      <c r="V132" s="115"/>
      <c r="W132" s="115"/>
      <c r="X132" s="115"/>
      <c r="Y132" s="115"/>
    </row>
    <row r="133" spans="1:26">
      <c r="A133" s="169"/>
      <c r="B133" s="169"/>
      <c r="C133" s="700"/>
      <c r="D133" s="692"/>
      <c r="E133" s="692"/>
      <c r="F133" s="692"/>
      <c r="G133" s="692"/>
      <c r="H133" s="692"/>
      <c r="I133" s="692"/>
      <c r="J133" s="692"/>
      <c r="K133" s="692"/>
      <c r="L133" s="692"/>
      <c r="M133" s="692"/>
      <c r="N133" s="692"/>
      <c r="O133" s="692"/>
      <c r="P133" s="692"/>
      <c r="Q133" s="692"/>
      <c r="R133" s="692"/>
      <c r="T133" s="115"/>
      <c r="U133" s="115"/>
      <c r="V133" s="115"/>
      <c r="W133" s="115"/>
      <c r="X133" s="115"/>
      <c r="Y133" s="115"/>
    </row>
    <row r="134" spans="1:26" ht="20.45">
      <c r="A134" s="169">
        <v>44935</v>
      </c>
      <c r="B134" s="169"/>
      <c r="C134" s="700" t="s">
        <v>510</v>
      </c>
      <c r="D134" s="692">
        <v>21.65</v>
      </c>
      <c r="E134" s="692">
        <v>23</v>
      </c>
      <c r="F134" s="692">
        <v>20.6</v>
      </c>
      <c r="G134" s="692">
        <v>25.23</v>
      </c>
      <c r="H134" s="692">
        <v>24.4</v>
      </c>
      <c r="I134" s="692">
        <v>23.45</v>
      </c>
      <c r="J134" s="692"/>
      <c r="K134" s="692"/>
      <c r="L134" s="692"/>
      <c r="M134" s="692"/>
      <c r="N134" s="692"/>
      <c r="O134" s="692" t="s">
        <v>508</v>
      </c>
      <c r="P134" s="692">
        <v>5000</v>
      </c>
      <c r="Q134" s="692"/>
      <c r="R134" s="692"/>
      <c r="S134" s="291">
        <v>4724</v>
      </c>
      <c r="T134" s="115"/>
      <c r="U134" s="115"/>
      <c r="V134" s="115"/>
      <c r="W134" s="115"/>
      <c r="X134" s="115"/>
      <c r="Y134" s="115"/>
    </row>
    <row r="135" spans="1:26" ht="40.9">
      <c r="A135" s="169">
        <v>44935</v>
      </c>
      <c r="B135" s="169"/>
      <c r="C135" s="700" t="s">
        <v>511</v>
      </c>
      <c r="D135" s="692">
        <v>21.65</v>
      </c>
      <c r="E135" s="692">
        <v>23</v>
      </c>
      <c r="F135" s="692">
        <v>20.6</v>
      </c>
      <c r="G135" s="692">
        <v>25.23</v>
      </c>
      <c r="H135" s="692">
        <v>24.4</v>
      </c>
      <c r="I135" s="692">
        <v>23.45</v>
      </c>
      <c r="J135" s="692"/>
      <c r="K135" s="692"/>
      <c r="L135" s="692"/>
      <c r="M135" s="692"/>
      <c r="N135" s="692"/>
      <c r="O135" s="692" t="s">
        <v>512</v>
      </c>
      <c r="P135" s="692">
        <v>5000</v>
      </c>
      <c r="Q135" s="692"/>
      <c r="R135" s="692"/>
      <c r="T135" s="115" t="s">
        <v>513</v>
      </c>
      <c r="U135" s="115">
        <v>-6.3E-3</v>
      </c>
      <c r="V135" s="115">
        <v>-4.7999999999999996E-3</v>
      </c>
      <c r="W135" s="115"/>
      <c r="X135" s="115"/>
      <c r="Y135" s="115"/>
    </row>
    <row r="136" spans="1:26" ht="40.9">
      <c r="A136" s="169">
        <v>44935</v>
      </c>
      <c r="B136" s="169"/>
      <c r="C136" s="700" t="s">
        <v>514</v>
      </c>
      <c r="D136" s="692">
        <v>21.65</v>
      </c>
      <c r="E136" s="692">
        <v>23</v>
      </c>
      <c r="F136" s="692">
        <v>20.6</v>
      </c>
      <c r="G136" s="692">
        <v>25.23</v>
      </c>
      <c r="H136" s="692">
        <v>24.4</v>
      </c>
      <c r="I136" s="692">
        <v>23.45</v>
      </c>
      <c r="J136" s="692"/>
      <c r="K136" s="692"/>
      <c r="L136" s="692"/>
      <c r="M136" s="692"/>
      <c r="N136" s="692"/>
      <c r="O136" s="692" t="s">
        <v>509</v>
      </c>
      <c r="P136" s="692">
        <v>5000</v>
      </c>
      <c r="Q136" s="692"/>
      <c r="R136" s="692"/>
      <c r="S136" s="291">
        <v>5745</v>
      </c>
      <c r="T136" s="115"/>
      <c r="U136" s="115"/>
      <c r="V136" s="115"/>
      <c r="W136" s="115"/>
      <c r="X136" s="115"/>
      <c r="Y136" s="115"/>
    </row>
    <row r="137" spans="1:26">
      <c r="A137" s="169">
        <v>44935</v>
      </c>
      <c r="B137" s="169"/>
      <c r="C137" s="700"/>
      <c r="D137" s="692">
        <v>21.65</v>
      </c>
      <c r="E137" s="692">
        <v>23</v>
      </c>
      <c r="F137" s="692">
        <v>20.6</v>
      </c>
      <c r="G137" s="692">
        <v>25.23</v>
      </c>
      <c r="H137" s="692">
        <v>24.4</v>
      </c>
      <c r="I137" s="692">
        <v>23.45</v>
      </c>
      <c r="J137" s="692"/>
      <c r="K137" s="692"/>
      <c r="L137" s="692"/>
      <c r="M137" s="692"/>
      <c r="N137" s="692"/>
      <c r="O137" s="692" t="s">
        <v>515</v>
      </c>
      <c r="P137" s="692">
        <v>5000</v>
      </c>
      <c r="Q137" s="692"/>
      <c r="R137" s="692"/>
      <c r="T137" s="152" t="s">
        <v>516</v>
      </c>
      <c r="U137" s="115">
        <v>-4.5999999999999999E-3</v>
      </c>
      <c r="V137" s="115">
        <v>-6.1999999999999998E-3</v>
      </c>
      <c r="W137" s="115"/>
      <c r="X137" s="115"/>
      <c r="Y137" s="115"/>
    </row>
    <row r="138" spans="1:26" ht="20.45">
      <c r="A138" s="169">
        <v>44935</v>
      </c>
      <c r="B138" s="169"/>
      <c r="C138" s="700" t="s">
        <v>517</v>
      </c>
      <c r="D138" s="692">
        <v>21.65</v>
      </c>
      <c r="E138" s="692">
        <v>23</v>
      </c>
      <c r="F138" s="692">
        <v>20.6</v>
      </c>
      <c r="G138" s="692">
        <v>25.23</v>
      </c>
      <c r="H138" s="692">
        <v>24.4</v>
      </c>
      <c r="I138" s="692">
        <v>23.45</v>
      </c>
      <c r="J138" s="692"/>
      <c r="K138" s="692"/>
      <c r="L138" s="692"/>
      <c r="M138" s="692"/>
      <c r="N138" s="692"/>
      <c r="O138" s="692" t="s">
        <v>518</v>
      </c>
      <c r="P138" s="692">
        <v>1000</v>
      </c>
      <c r="Q138" s="692"/>
      <c r="R138" s="692"/>
      <c r="T138" s="115" t="s">
        <v>519</v>
      </c>
      <c r="U138" s="115">
        <v>-6.0000000000000001E-3</v>
      </c>
      <c r="V138" s="115">
        <v>-4.1000000000000003E-3</v>
      </c>
      <c r="W138" s="115"/>
      <c r="X138" s="115"/>
      <c r="Y138" s="115"/>
    </row>
    <row r="139" spans="1:26" ht="30.6">
      <c r="A139" s="169">
        <v>44935</v>
      </c>
      <c r="B139" s="169"/>
      <c r="C139" s="700" t="s">
        <v>520</v>
      </c>
      <c r="D139" s="692">
        <v>21.65</v>
      </c>
      <c r="E139" s="692">
        <v>23</v>
      </c>
      <c r="F139" s="692">
        <v>20.6</v>
      </c>
      <c r="G139" s="692">
        <v>25.23</v>
      </c>
      <c r="H139" s="692">
        <v>24.4</v>
      </c>
      <c r="I139" s="692">
        <v>23.45</v>
      </c>
      <c r="J139" s="692"/>
      <c r="K139" s="692"/>
      <c r="L139" s="692"/>
      <c r="M139" s="692"/>
      <c r="N139" s="692"/>
      <c r="O139" s="692" t="s">
        <v>472</v>
      </c>
      <c r="P139" s="692"/>
      <c r="Q139" s="692"/>
      <c r="R139" s="692"/>
      <c r="T139" s="115"/>
      <c r="U139" s="115"/>
      <c r="V139" s="115"/>
      <c r="W139" s="115">
        <v>746.55399999999997</v>
      </c>
      <c r="X139" s="115">
        <v>602.99800000000005</v>
      </c>
      <c r="Y139" s="115"/>
    </row>
    <row r="140" spans="1:26" ht="30.6">
      <c r="A140" s="169">
        <v>44935</v>
      </c>
      <c r="B140" s="169"/>
      <c r="C140" s="700" t="s">
        <v>520</v>
      </c>
      <c r="D140" s="692">
        <v>21.65</v>
      </c>
      <c r="E140" s="692">
        <v>23</v>
      </c>
      <c r="F140" s="692">
        <v>20.6</v>
      </c>
      <c r="G140" s="692">
        <v>25.23</v>
      </c>
      <c r="H140" s="692">
        <v>24.4</v>
      </c>
      <c r="I140" s="692">
        <v>23.45</v>
      </c>
      <c r="J140" s="692"/>
      <c r="K140" s="692"/>
      <c r="L140" s="692"/>
      <c r="M140" s="692"/>
      <c r="N140" s="692"/>
      <c r="O140" s="692"/>
      <c r="P140" s="692"/>
      <c r="Q140" s="692"/>
      <c r="R140" s="692"/>
      <c r="S140" s="291">
        <v>12552</v>
      </c>
      <c r="T140" s="115"/>
      <c r="U140" s="115"/>
      <c r="V140" s="115"/>
      <c r="W140" s="115">
        <v>745.87199999999996</v>
      </c>
      <c r="X140" s="115">
        <v>602.221</v>
      </c>
      <c r="Y140" s="115"/>
    </row>
    <row r="141" spans="1:26" ht="30.6">
      <c r="A141" s="169">
        <v>44935</v>
      </c>
      <c r="B141" s="169"/>
      <c r="C141" s="700" t="s">
        <v>521</v>
      </c>
      <c r="D141" s="692">
        <v>21.65</v>
      </c>
      <c r="E141" s="692">
        <v>23</v>
      </c>
      <c r="F141" s="692">
        <v>20.6</v>
      </c>
      <c r="G141" s="692">
        <v>25.23</v>
      </c>
      <c r="H141" s="692">
        <v>24.4</v>
      </c>
      <c r="I141" s="692">
        <v>23.45</v>
      </c>
      <c r="J141" s="692"/>
      <c r="K141" s="692"/>
      <c r="L141" s="692"/>
      <c r="M141" s="692"/>
      <c r="N141" s="692"/>
      <c r="O141" s="692"/>
      <c r="P141" s="692"/>
      <c r="Q141" s="692"/>
      <c r="R141" s="692"/>
      <c r="T141" s="115"/>
      <c r="U141" s="115"/>
      <c r="V141" s="115"/>
      <c r="W141" s="115">
        <v>746.55</v>
      </c>
      <c r="X141" s="115">
        <v>603.45000000000005</v>
      </c>
      <c r="Y141" s="115"/>
    </row>
    <row r="142" spans="1:26" ht="20.45">
      <c r="A142" s="169">
        <v>44935</v>
      </c>
      <c r="B142" s="169"/>
      <c r="C142" s="700" t="s">
        <v>522</v>
      </c>
      <c r="D142" s="692">
        <v>21.65</v>
      </c>
      <c r="E142" s="692">
        <v>23</v>
      </c>
      <c r="F142" s="692">
        <v>20.6</v>
      </c>
      <c r="G142" s="692">
        <v>25.23</v>
      </c>
      <c r="H142" s="692">
        <v>24.4</v>
      </c>
      <c r="I142" s="692">
        <v>23.45</v>
      </c>
      <c r="J142" s="692"/>
      <c r="K142" s="692"/>
      <c r="L142" s="692"/>
      <c r="M142" s="692"/>
      <c r="N142" s="692"/>
      <c r="O142" s="168">
        <v>2117</v>
      </c>
      <c r="P142" s="692">
        <v>1000</v>
      </c>
      <c r="Q142" s="692"/>
      <c r="R142" s="692"/>
      <c r="S142" s="291">
        <v>42547</v>
      </c>
      <c r="T142" s="115"/>
      <c r="U142" s="115"/>
      <c r="V142" s="115"/>
      <c r="W142" s="115"/>
      <c r="X142" s="115"/>
      <c r="Y142" s="115"/>
    </row>
    <row r="143" spans="1:26" ht="20.45">
      <c r="A143" s="169">
        <v>44935</v>
      </c>
      <c r="B143" s="169"/>
      <c r="C143" s="700" t="s">
        <v>523</v>
      </c>
      <c r="D143" s="692">
        <v>21.65</v>
      </c>
      <c r="E143" s="692">
        <v>23</v>
      </c>
      <c r="F143" s="692">
        <v>20.6</v>
      </c>
      <c r="G143" s="692">
        <v>25.23</v>
      </c>
      <c r="H143" s="692">
        <v>24.4</v>
      </c>
      <c r="I143" s="692">
        <v>23.45</v>
      </c>
      <c r="J143" s="692"/>
      <c r="K143" s="692"/>
      <c r="L143" s="692"/>
      <c r="M143" s="692"/>
      <c r="N143" s="692"/>
      <c r="O143" s="692" t="s">
        <v>65</v>
      </c>
      <c r="P143" s="692">
        <v>1000</v>
      </c>
      <c r="Q143" s="692"/>
      <c r="R143" s="692"/>
      <c r="S143" s="291">
        <v>42917</v>
      </c>
      <c r="T143" s="115"/>
      <c r="U143" s="115"/>
      <c r="V143" s="115"/>
      <c r="W143" s="115"/>
      <c r="X143" s="115"/>
      <c r="Y143" s="115"/>
    </row>
    <row r="144" spans="1:26" ht="20.45">
      <c r="A144" s="169">
        <v>44935</v>
      </c>
      <c r="B144" s="169"/>
      <c r="C144" s="700" t="s">
        <v>524</v>
      </c>
      <c r="D144" s="692">
        <v>21.65</v>
      </c>
      <c r="E144" s="692">
        <v>23</v>
      </c>
      <c r="F144" s="692">
        <v>20.6</v>
      </c>
      <c r="G144" s="692">
        <v>25.23</v>
      </c>
      <c r="H144" s="692" t="s">
        <v>525</v>
      </c>
      <c r="I144" s="692" t="s">
        <v>525</v>
      </c>
      <c r="J144" s="692"/>
      <c r="K144" s="692"/>
      <c r="L144" s="692"/>
      <c r="M144" s="692"/>
      <c r="N144" s="692"/>
      <c r="O144" s="692"/>
      <c r="P144" s="692"/>
      <c r="Q144" s="692">
        <v>15</v>
      </c>
      <c r="R144" s="692">
        <v>4.0318379999999996</v>
      </c>
      <c r="T144" s="115"/>
      <c r="U144" s="115"/>
      <c r="V144" s="115"/>
      <c r="W144" s="115"/>
      <c r="X144" s="115"/>
      <c r="Y144" s="115"/>
    </row>
    <row r="145" spans="1:25" ht="20.45">
      <c r="A145" s="169">
        <v>44935</v>
      </c>
      <c r="B145" s="169"/>
      <c r="C145" s="700" t="s">
        <v>526</v>
      </c>
      <c r="D145" s="692">
        <v>21.65</v>
      </c>
      <c r="E145" s="692">
        <v>23</v>
      </c>
      <c r="F145" s="692">
        <v>20.6</v>
      </c>
      <c r="G145" s="692">
        <v>25.23</v>
      </c>
      <c r="H145" s="692"/>
      <c r="I145" s="692"/>
      <c r="J145" s="692"/>
      <c r="K145" s="692"/>
      <c r="L145" s="692"/>
      <c r="M145" s="692"/>
      <c r="N145" s="692"/>
      <c r="O145" s="168">
        <v>1122</v>
      </c>
      <c r="P145" s="692">
        <v>1000</v>
      </c>
      <c r="Q145" s="692"/>
      <c r="R145" s="692"/>
      <c r="S145" s="291">
        <v>53827</v>
      </c>
      <c r="T145" s="115"/>
      <c r="U145" s="115"/>
      <c r="V145" s="115"/>
      <c r="W145" s="115"/>
      <c r="X145" s="115"/>
      <c r="Y145" s="115"/>
    </row>
    <row r="146" spans="1:25" ht="20.45">
      <c r="A146" s="169">
        <v>44935</v>
      </c>
      <c r="B146" s="169"/>
      <c r="C146" s="700" t="s">
        <v>527</v>
      </c>
      <c r="D146" s="692">
        <v>21.65</v>
      </c>
      <c r="E146" s="692">
        <v>23</v>
      </c>
      <c r="F146" s="692">
        <v>20.6</v>
      </c>
      <c r="G146" s="692">
        <v>25.23</v>
      </c>
      <c r="H146" s="692"/>
      <c r="I146" s="692"/>
      <c r="J146" s="692"/>
      <c r="K146" s="692"/>
      <c r="L146" s="692"/>
      <c r="M146" s="692"/>
      <c r="N146" s="692"/>
      <c r="O146" s="692" t="s">
        <v>75</v>
      </c>
      <c r="P146" s="692">
        <v>1000</v>
      </c>
      <c r="Q146" s="692"/>
      <c r="R146" s="692"/>
      <c r="S146" s="291">
        <v>54259</v>
      </c>
      <c r="T146" s="115"/>
      <c r="U146" s="115"/>
      <c r="V146" s="115"/>
      <c r="W146" s="115"/>
      <c r="X146" s="115"/>
      <c r="Y146" s="115"/>
    </row>
    <row r="147" spans="1:25">
      <c r="A147" s="169">
        <v>44935</v>
      </c>
      <c r="B147" s="169"/>
      <c r="C147" s="700"/>
      <c r="D147" s="692">
        <v>21.65</v>
      </c>
      <c r="E147" s="692">
        <v>23</v>
      </c>
      <c r="F147" s="692">
        <v>20.6</v>
      </c>
      <c r="G147" s="692">
        <v>25.23</v>
      </c>
      <c r="H147" s="692"/>
      <c r="I147" s="692"/>
      <c r="J147" s="692"/>
      <c r="K147" s="692"/>
      <c r="L147" s="692"/>
      <c r="M147" s="692"/>
      <c r="N147" s="692"/>
      <c r="O147" s="168">
        <v>1122</v>
      </c>
      <c r="P147" s="692"/>
      <c r="Q147" s="692"/>
      <c r="R147" s="692"/>
      <c r="T147" s="115" t="s">
        <v>528</v>
      </c>
      <c r="U147" s="115">
        <v>-6.2899999999999998E-2</v>
      </c>
      <c r="V147" s="115">
        <v>-0.1163</v>
      </c>
      <c r="W147" s="115"/>
      <c r="X147" s="115"/>
      <c r="Y147" s="115"/>
    </row>
    <row r="148" spans="1:25">
      <c r="A148" s="169">
        <v>44935</v>
      </c>
      <c r="B148" s="169"/>
      <c r="C148" s="700"/>
      <c r="D148" s="692">
        <v>21.65</v>
      </c>
      <c r="E148" s="692">
        <v>23</v>
      </c>
      <c r="F148" s="692">
        <v>20.6</v>
      </c>
      <c r="G148" s="692">
        <v>25.23</v>
      </c>
      <c r="H148" s="692"/>
      <c r="I148" s="692"/>
      <c r="J148" s="692"/>
      <c r="K148" s="692"/>
      <c r="L148" s="692"/>
      <c r="M148" s="692"/>
      <c r="N148" s="692"/>
      <c r="O148" s="168">
        <v>1122</v>
      </c>
      <c r="P148" s="692"/>
      <c r="Q148" s="692"/>
      <c r="R148" s="692"/>
      <c r="T148" s="115" t="s">
        <v>528</v>
      </c>
      <c r="U148" s="115">
        <v>-6.3299999999999995E-2</v>
      </c>
      <c r="V148" s="115">
        <v>-0.1169</v>
      </c>
      <c r="W148" s="115"/>
      <c r="X148" s="115"/>
      <c r="Y148" s="115"/>
    </row>
    <row r="149" spans="1:25" ht="40.9">
      <c r="A149" s="169">
        <v>44935</v>
      </c>
      <c r="B149" s="169"/>
      <c r="C149" s="700" t="s">
        <v>529</v>
      </c>
      <c r="D149" s="692">
        <v>21.65</v>
      </c>
      <c r="E149" s="692">
        <v>23</v>
      </c>
      <c r="F149" s="692">
        <v>20.6</v>
      </c>
      <c r="G149" s="692">
        <v>25.23</v>
      </c>
      <c r="H149" s="692"/>
      <c r="I149" s="692"/>
      <c r="J149" s="692"/>
      <c r="K149" s="692"/>
      <c r="L149" s="692"/>
      <c r="M149" s="692"/>
      <c r="N149" s="692"/>
      <c r="O149" s="168">
        <v>1122</v>
      </c>
      <c r="P149" s="692"/>
      <c r="Q149" s="692"/>
      <c r="R149" s="692"/>
      <c r="T149" s="115"/>
      <c r="U149" s="115"/>
      <c r="V149" s="115"/>
      <c r="W149" s="115">
        <v>770.83</v>
      </c>
      <c r="X149" s="115">
        <v>155.06399999999999</v>
      </c>
      <c r="Y149" s="115"/>
    </row>
    <row r="150" spans="1:25" ht="40.9">
      <c r="A150" s="169">
        <v>44935</v>
      </c>
      <c r="B150" s="169"/>
      <c r="C150" s="700" t="s">
        <v>530</v>
      </c>
      <c r="D150" s="692">
        <v>21.65</v>
      </c>
      <c r="E150" s="692">
        <v>23</v>
      </c>
      <c r="F150" s="692">
        <v>20.6</v>
      </c>
      <c r="G150" s="692">
        <v>25.23</v>
      </c>
      <c r="H150" s="692"/>
      <c r="I150" s="692"/>
      <c r="J150" s="692"/>
      <c r="K150" s="692"/>
      <c r="L150" s="692"/>
      <c r="M150" s="692"/>
      <c r="N150" s="692"/>
      <c r="O150" s="168">
        <v>1122</v>
      </c>
      <c r="P150" s="692"/>
      <c r="Q150" s="692"/>
      <c r="R150" s="692"/>
      <c r="T150" s="115"/>
      <c r="U150" s="115"/>
      <c r="V150" s="115"/>
      <c r="W150" s="115">
        <v>824.3</v>
      </c>
      <c r="X150" s="115">
        <v>1115.5</v>
      </c>
      <c r="Y150" s="115"/>
    </row>
    <row r="151" spans="1:25">
      <c r="A151" s="169">
        <v>44935</v>
      </c>
      <c r="B151" s="169"/>
      <c r="C151" s="700"/>
      <c r="D151" s="692"/>
      <c r="E151" s="692"/>
      <c r="F151" s="692"/>
      <c r="G151" s="692"/>
      <c r="H151" s="692"/>
      <c r="I151" s="692"/>
      <c r="J151" s="692"/>
      <c r="K151" s="692"/>
      <c r="L151" s="692"/>
      <c r="M151" s="692"/>
      <c r="N151" s="692"/>
      <c r="O151" s="168">
        <v>1122</v>
      </c>
      <c r="P151" s="692"/>
      <c r="Q151" s="692"/>
      <c r="R151" s="692"/>
      <c r="T151" s="115"/>
      <c r="U151" s="115"/>
      <c r="V151" s="115"/>
      <c r="W151" s="115">
        <v>808</v>
      </c>
      <c r="X151" s="115">
        <v>602</v>
      </c>
      <c r="Y151" s="115"/>
    </row>
    <row r="152" spans="1:25" ht="25.5" customHeight="1">
      <c r="A152" s="169">
        <v>44935</v>
      </c>
      <c r="B152" s="169"/>
      <c r="C152" s="700" t="s">
        <v>531</v>
      </c>
      <c r="D152" s="692"/>
      <c r="E152" s="692"/>
      <c r="F152" s="692"/>
      <c r="G152" s="692"/>
      <c r="H152" s="692"/>
      <c r="I152" s="692"/>
      <c r="J152" s="692"/>
      <c r="K152" s="692"/>
      <c r="L152" s="692"/>
      <c r="M152" s="692"/>
      <c r="N152" s="692"/>
      <c r="O152" s="168">
        <v>1122</v>
      </c>
      <c r="P152" s="692"/>
      <c r="Q152" s="692"/>
      <c r="R152" s="692">
        <v>3.4584190000000001</v>
      </c>
      <c r="T152" s="115"/>
      <c r="U152" s="115"/>
      <c r="V152" s="115"/>
      <c r="W152" s="115"/>
      <c r="X152" s="115"/>
      <c r="Y152" s="115"/>
    </row>
    <row r="153" spans="1:25">
      <c r="A153" s="115"/>
      <c r="B153" s="115"/>
      <c r="C153" s="700"/>
      <c r="D153" s="692"/>
      <c r="E153" s="692"/>
      <c r="F153" s="692"/>
      <c r="G153" s="692"/>
      <c r="H153" s="692"/>
      <c r="I153" s="692"/>
      <c r="J153" s="692"/>
      <c r="K153" s="692"/>
      <c r="L153" s="692"/>
      <c r="M153" s="692"/>
      <c r="N153" s="692"/>
      <c r="O153" s="692"/>
      <c r="P153" s="692"/>
      <c r="Q153" s="692"/>
      <c r="R153" s="692"/>
      <c r="T153" s="115"/>
      <c r="U153" s="115"/>
      <c r="V153" s="115"/>
      <c r="W153" s="115"/>
      <c r="X153" s="115"/>
      <c r="Y153" s="115"/>
    </row>
    <row r="154" spans="1:25" ht="40.9">
      <c r="A154" s="169">
        <v>44936</v>
      </c>
      <c r="B154" s="169"/>
      <c r="C154" s="700" t="s">
        <v>532</v>
      </c>
      <c r="D154" s="692"/>
      <c r="E154" s="692"/>
      <c r="F154" s="692"/>
      <c r="G154" s="692"/>
      <c r="H154" s="692"/>
      <c r="I154" s="692"/>
      <c r="J154" s="692"/>
      <c r="K154" s="692"/>
      <c r="L154" s="692"/>
      <c r="M154" s="692"/>
      <c r="N154" s="692"/>
      <c r="O154" s="692"/>
      <c r="P154" s="692"/>
      <c r="Q154" s="692">
        <v>23</v>
      </c>
      <c r="R154" s="692">
        <v>3.45831</v>
      </c>
      <c r="T154" s="115"/>
      <c r="U154" s="115"/>
      <c r="V154" s="115"/>
      <c r="W154" s="115"/>
      <c r="X154" s="115"/>
      <c r="Y154" s="115"/>
    </row>
    <row r="155" spans="1:25" ht="40.9">
      <c r="A155" s="169">
        <v>44936</v>
      </c>
      <c r="B155" s="169"/>
      <c r="C155" s="700" t="s">
        <v>533</v>
      </c>
      <c r="D155" s="692">
        <v>21.16</v>
      </c>
      <c r="E155" s="692">
        <v>25.34</v>
      </c>
      <c r="F155" s="692"/>
      <c r="G155" s="692"/>
      <c r="H155" s="692"/>
      <c r="I155" s="692"/>
      <c r="J155" s="692"/>
      <c r="K155" s="692"/>
      <c r="L155" s="692"/>
      <c r="M155" s="692"/>
      <c r="N155" s="692"/>
      <c r="O155" s="168">
        <v>1158</v>
      </c>
      <c r="P155" s="692">
        <v>250</v>
      </c>
      <c r="Q155" s="692"/>
      <c r="R155" s="692"/>
      <c r="S155" s="291">
        <v>4212</v>
      </c>
      <c r="T155" s="115"/>
      <c r="U155" s="115"/>
      <c r="V155" s="115"/>
      <c r="W155" s="115">
        <v>868</v>
      </c>
      <c r="X155" s="115">
        <v>536.5</v>
      </c>
      <c r="Y155" s="115"/>
    </row>
    <row r="156" spans="1:25" ht="61.15">
      <c r="A156" s="169">
        <v>44936</v>
      </c>
      <c r="B156" s="169"/>
      <c r="C156" s="700" t="s">
        <v>534</v>
      </c>
      <c r="D156" s="692"/>
      <c r="E156" s="692"/>
      <c r="F156" s="692"/>
      <c r="G156" s="692"/>
      <c r="H156" s="692"/>
      <c r="I156" s="692"/>
      <c r="J156" s="692"/>
      <c r="K156" s="692"/>
      <c r="L156" s="692"/>
      <c r="M156" s="692"/>
      <c r="N156" s="692"/>
      <c r="O156" s="168">
        <v>1158</v>
      </c>
      <c r="P156" s="692">
        <v>250</v>
      </c>
      <c r="Q156" s="692"/>
      <c r="R156" s="692"/>
      <c r="S156" s="291">
        <v>5413</v>
      </c>
      <c r="T156" s="115"/>
      <c r="U156" s="115"/>
      <c r="V156" s="115"/>
      <c r="W156" s="115" t="s">
        <v>525</v>
      </c>
      <c r="X156" s="115" t="s">
        <v>525</v>
      </c>
      <c r="Y156" s="115"/>
    </row>
    <row r="157" spans="1:25" ht="40.9">
      <c r="A157" s="169">
        <v>44936</v>
      </c>
      <c r="B157" s="169"/>
      <c r="C157" s="700" t="s">
        <v>535</v>
      </c>
      <c r="D157" s="692"/>
      <c r="E157" s="692"/>
      <c r="F157" s="692"/>
      <c r="G157" s="692"/>
      <c r="H157" s="692"/>
      <c r="I157" s="692"/>
      <c r="J157" s="692"/>
      <c r="K157" s="692"/>
      <c r="L157" s="692"/>
      <c r="M157" s="692"/>
      <c r="N157" s="692"/>
      <c r="O157" s="692"/>
      <c r="P157" s="692"/>
      <c r="Q157" s="692"/>
      <c r="R157" s="692">
        <v>3.46638</v>
      </c>
      <c r="T157" s="115"/>
      <c r="U157" s="115"/>
      <c r="V157" s="115"/>
      <c r="W157" s="115"/>
      <c r="X157" s="115"/>
      <c r="Y157" s="115"/>
    </row>
    <row r="158" spans="1:25" ht="40.9">
      <c r="A158" s="169">
        <v>44936</v>
      </c>
      <c r="B158" s="169"/>
      <c r="C158" s="700" t="s">
        <v>536</v>
      </c>
      <c r="D158" s="692"/>
      <c r="E158" s="692"/>
      <c r="F158" s="692"/>
      <c r="G158" s="692"/>
      <c r="H158" s="692"/>
      <c r="I158" s="692"/>
      <c r="J158" s="692"/>
      <c r="K158" s="692"/>
      <c r="L158" s="692"/>
      <c r="M158" s="692"/>
      <c r="N158" s="692"/>
      <c r="O158" s="168">
        <v>1139</v>
      </c>
      <c r="P158" s="692"/>
      <c r="Q158" s="692"/>
      <c r="R158" s="692"/>
      <c r="S158" s="291">
        <v>14706</v>
      </c>
      <c r="T158" s="115"/>
      <c r="U158" s="115"/>
      <c r="V158" s="115"/>
      <c r="W158" s="115">
        <v>824</v>
      </c>
      <c r="X158" s="115">
        <v>576</v>
      </c>
      <c r="Y158" s="115"/>
    </row>
    <row r="159" spans="1:25" ht="30.6">
      <c r="A159" s="169">
        <v>44936</v>
      </c>
      <c r="B159" s="169"/>
      <c r="C159" s="700" t="s">
        <v>537</v>
      </c>
      <c r="D159" s="692">
        <v>21.65</v>
      </c>
      <c r="E159" s="692">
        <v>23</v>
      </c>
      <c r="F159" s="692">
        <v>20.49</v>
      </c>
      <c r="G159" s="692">
        <v>25.225000000000001</v>
      </c>
      <c r="H159" s="692">
        <v>24.4</v>
      </c>
      <c r="I159" s="692">
        <v>23.45</v>
      </c>
      <c r="J159" s="692"/>
      <c r="K159" s="692"/>
      <c r="L159" s="692"/>
      <c r="M159" s="692"/>
      <c r="N159" s="692"/>
      <c r="O159" s="692"/>
      <c r="P159" s="692"/>
      <c r="Q159" s="692"/>
      <c r="R159" s="692"/>
      <c r="T159" s="115"/>
      <c r="U159" s="115"/>
      <c r="V159" s="115"/>
      <c r="W159" s="115"/>
      <c r="X159" s="115"/>
      <c r="Y159" s="115"/>
    </row>
    <row r="160" spans="1:25" ht="20.45">
      <c r="A160" s="169">
        <v>44936</v>
      </c>
      <c r="B160" s="169"/>
      <c r="C160" s="700" t="s">
        <v>538</v>
      </c>
      <c r="D160" s="692"/>
      <c r="E160" s="692"/>
      <c r="F160" s="692"/>
      <c r="G160" s="692"/>
      <c r="H160" s="692">
        <v>24.146899999999999</v>
      </c>
      <c r="I160" s="692">
        <v>23.75</v>
      </c>
      <c r="J160" s="692"/>
      <c r="K160" s="692"/>
      <c r="L160" s="692"/>
      <c r="M160" s="692"/>
      <c r="N160" s="692"/>
      <c r="O160" s="692"/>
      <c r="P160" s="692"/>
      <c r="Q160" s="692">
        <v>10</v>
      </c>
      <c r="R160" s="692">
        <v>4.0317160000000003</v>
      </c>
      <c r="T160" s="115"/>
      <c r="U160" s="115"/>
      <c r="V160" s="115"/>
      <c r="W160" s="115"/>
      <c r="X160" s="115"/>
      <c r="Y160" s="115"/>
    </row>
    <row r="161" spans="1:25" ht="20.45">
      <c r="A161" s="169">
        <v>44936</v>
      </c>
      <c r="B161" s="169"/>
      <c r="C161" s="700" t="s">
        <v>539</v>
      </c>
      <c r="D161" s="692"/>
      <c r="E161" s="692"/>
      <c r="F161" s="692"/>
      <c r="G161" s="692"/>
      <c r="H161" s="692">
        <v>24.146899999999999</v>
      </c>
      <c r="I161" s="692">
        <v>23.75</v>
      </c>
      <c r="J161" s="692"/>
      <c r="K161" s="692"/>
      <c r="L161" s="692"/>
      <c r="M161" s="692"/>
      <c r="N161" s="692"/>
      <c r="O161" s="692"/>
      <c r="P161" s="692"/>
      <c r="Q161" s="692"/>
      <c r="R161" s="692"/>
      <c r="S161" s="291">
        <v>42543</v>
      </c>
      <c r="T161" s="115"/>
      <c r="U161" s="115"/>
      <c r="V161" s="115"/>
      <c r="W161" s="115">
        <v>156</v>
      </c>
      <c r="X161" s="115">
        <v>1039</v>
      </c>
      <c r="Y161" s="115"/>
    </row>
    <row r="162" spans="1:25" ht="51">
      <c r="A162" s="169">
        <v>44936</v>
      </c>
      <c r="B162" s="169"/>
      <c r="C162" s="700" t="s">
        <v>540</v>
      </c>
      <c r="D162" s="692"/>
      <c r="E162" s="692"/>
      <c r="F162" s="692"/>
      <c r="G162" s="692"/>
      <c r="H162" s="692">
        <v>24.146899999999999</v>
      </c>
      <c r="I162" s="692">
        <v>23.75</v>
      </c>
      <c r="J162" s="692"/>
      <c r="K162" s="692"/>
      <c r="L162" s="692"/>
      <c r="M162" s="692"/>
      <c r="N162" s="692"/>
      <c r="O162" s="692"/>
      <c r="P162" s="692"/>
      <c r="Q162" s="692"/>
      <c r="R162" s="692"/>
      <c r="S162" s="291">
        <v>43243</v>
      </c>
      <c r="T162" s="115"/>
      <c r="U162" s="115"/>
      <c r="V162" s="115"/>
      <c r="W162" s="115"/>
      <c r="X162" s="115"/>
      <c r="Y162" s="115"/>
    </row>
    <row r="163" spans="1:25" ht="61.15">
      <c r="A163" s="169">
        <v>44936</v>
      </c>
      <c r="B163" s="169"/>
      <c r="C163" s="700" t="s">
        <v>541</v>
      </c>
      <c r="D163" s="692">
        <v>21.65</v>
      </c>
      <c r="E163" s="692">
        <v>23</v>
      </c>
      <c r="F163" s="692">
        <v>20.49</v>
      </c>
      <c r="G163" s="692">
        <v>25.225000000000001</v>
      </c>
      <c r="H163" s="692">
        <v>24.4</v>
      </c>
      <c r="I163" s="692">
        <v>23.45</v>
      </c>
      <c r="J163" s="692"/>
      <c r="K163" s="692"/>
      <c r="L163" s="692"/>
      <c r="M163" s="692"/>
      <c r="N163" s="692"/>
      <c r="O163" s="692"/>
      <c r="P163" s="692"/>
      <c r="Q163" s="692"/>
      <c r="R163" s="692"/>
      <c r="S163" s="291">
        <v>43531</v>
      </c>
      <c r="T163" s="115"/>
      <c r="U163" s="115"/>
      <c r="V163" s="115"/>
      <c r="W163" s="115"/>
      <c r="X163" s="115"/>
      <c r="Y163" s="115"/>
    </row>
    <row r="164" spans="1:25" ht="20.45">
      <c r="A164" s="169">
        <v>44936</v>
      </c>
      <c r="B164" s="169"/>
      <c r="C164" s="700" t="s">
        <v>542</v>
      </c>
      <c r="D164" s="692">
        <v>21.62</v>
      </c>
      <c r="E164" s="692">
        <v>22.95</v>
      </c>
      <c r="F164" s="692"/>
      <c r="G164" s="692"/>
      <c r="H164" s="692">
        <v>24.4</v>
      </c>
      <c r="I164" s="692">
        <v>23.45</v>
      </c>
      <c r="J164" s="692"/>
      <c r="K164" s="692"/>
      <c r="L164" s="692"/>
      <c r="M164" s="692"/>
      <c r="N164" s="692"/>
      <c r="O164" s="692" t="s">
        <v>472</v>
      </c>
      <c r="P164" s="692"/>
      <c r="Q164" s="692"/>
      <c r="R164" s="692"/>
      <c r="S164" s="291">
        <v>43929</v>
      </c>
      <c r="T164" s="115"/>
      <c r="U164" s="115"/>
      <c r="V164" s="115"/>
      <c r="W164" s="115"/>
      <c r="X164" s="115"/>
      <c r="Y164" s="115"/>
    </row>
    <row r="165" spans="1:25" ht="20.45">
      <c r="A165" s="169">
        <v>44936</v>
      </c>
      <c r="B165" s="169"/>
      <c r="C165" s="700" t="s">
        <v>543</v>
      </c>
      <c r="D165" s="692"/>
      <c r="E165" s="692"/>
      <c r="F165" s="692"/>
      <c r="G165" s="692"/>
      <c r="H165" s="692">
        <v>24.4</v>
      </c>
      <c r="I165" s="692">
        <v>23.45</v>
      </c>
      <c r="J165" s="692"/>
      <c r="K165" s="692"/>
      <c r="L165" s="692"/>
      <c r="M165" s="692"/>
      <c r="N165" s="692"/>
      <c r="O165" s="692" t="s">
        <v>544</v>
      </c>
      <c r="P165" s="692"/>
      <c r="Q165" s="692"/>
      <c r="R165" s="692"/>
      <c r="S165" s="291">
        <v>44233</v>
      </c>
      <c r="T165" s="115"/>
      <c r="U165" s="115"/>
      <c r="V165" s="115"/>
      <c r="W165" s="115"/>
      <c r="X165" s="115"/>
      <c r="Y165" s="115"/>
    </row>
    <row r="166" spans="1:25" ht="30.6">
      <c r="A166" s="169">
        <v>44936</v>
      </c>
      <c r="B166" s="169"/>
      <c r="C166" s="700" t="s">
        <v>545</v>
      </c>
      <c r="D166" s="692"/>
      <c r="E166" s="692"/>
      <c r="F166" s="692"/>
      <c r="G166" s="692"/>
      <c r="H166" s="692">
        <v>24.4</v>
      </c>
      <c r="I166" s="692">
        <v>23.45</v>
      </c>
      <c r="J166" s="692"/>
      <c r="K166" s="692"/>
      <c r="L166" s="692"/>
      <c r="M166" s="692"/>
      <c r="N166" s="692"/>
      <c r="O166" s="692"/>
      <c r="P166" s="692"/>
      <c r="Q166" s="692"/>
      <c r="R166" s="692"/>
      <c r="T166" s="115"/>
      <c r="U166" s="115">
        <v>-0.30220000000000002</v>
      </c>
      <c r="V166" s="115">
        <v>-0.33119999999999999</v>
      </c>
      <c r="W166" s="115"/>
      <c r="X166" s="115"/>
      <c r="Y166" s="115"/>
    </row>
    <row r="167" spans="1:25" ht="30.6">
      <c r="A167" s="169">
        <v>44936</v>
      </c>
      <c r="B167" s="169"/>
      <c r="C167" s="700" t="s">
        <v>546</v>
      </c>
      <c r="D167" s="692"/>
      <c r="E167" s="692"/>
      <c r="F167" s="692"/>
      <c r="G167" s="692"/>
      <c r="H167" s="692">
        <v>24.4</v>
      </c>
      <c r="I167" s="692">
        <v>23.45</v>
      </c>
      <c r="J167" s="692"/>
      <c r="K167" s="692"/>
      <c r="L167" s="692"/>
      <c r="M167" s="692"/>
      <c r="N167" s="692"/>
      <c r="O167" s="692"/>
      <c r="P167" s="692"/>
      <c r="Q167" s="692"/>
      <c r="R167" s="692"/>
      <c r="T167" s="115"/>
      <c r="U167" s="115">
        <v>5.0299999999999997E-2</v>
      </c>
      <c r="V167" s="115">
        <v>-2.3199999999999998E-2</v>
      </c>
      <c r="W167" s="115"/>
      <c r="X167" s="115"/>
      <c r="Y167" s="115"/>
    </row>
    <row r="168" spans="1:25" ht="51">
      <c r="A168" s="169">
        <v>44936</v>
      </c>
      <c r="B168" s="169"/>
      <c r="C168" s="700" t="s">
        <v>547</v>
      </c>
      <c r="D168" s="692">
        <v>21.82</v>
      </c>
      <c r="E168" s="692">
        <v>23.9</v>
      </c>
      <c r="F168" s="692">
        <v>21.81</v>
      </c>
      <c r="G168" s="692">
        <v>25.38</v>
      </c>
      <c r="H168" s="692">
        <v>24.4</v>
      </c>
      <c r="I168" s="692">
        <v>23.45</v>
      </c>
      <c r="J168" s="692"/>
      <c r="K168" s="692"/>
      <c r="L168" s="692"/>
      <c r="M168" s="692"/>
      <c r="N168" s="692"/>
      <c r="O168" s="692" t="s">
        <v>472</v>
      </c>
      <c r="P168" s="692"/>
      <c r="Q168" s="692"/>
      <c r="R168" s="692"/>
      <c r="S168" s="291">
        <v>54958</v>
      </c>
      <c r="T168" s="115"/>
      <c r="U168" s="115"/>
      <c r="V168" s="115"/>
      <c r="W168" s="115"/>
      <c r="X168" s="115"/>
      <c r="Y168" s="115"/>
    </row>
    <row r="169" spans="1:25" ht="20.45">
      <c r="A169" s="169">
        <v>44936</v>
      </c>
      <c r="B169" s="169"/>
      <c r="C169" s="700" t="s">
        <v>548</v>
      </c>
      <c r="D169" s="692"/>
      <c r="E169" s="692"/>
      <c r="F169" s="692"/>
      <c r="G169" s="692"/>
      <c r="H169" s="692">
        <v>24.4</v>
      </c>
      <c r="I169" s="692">
        <v>23.45</v>
      </c>
      <c r="J169" s="692"/>
      <c r="K169" s="692"/>
      <c r="L169" s="692"/>
      <c r="M169" s="692"/>
      <c r="N169" s="692"/>
      <c r="O169" s="692" t="s">
        <v>549</v>
      </c>
      <c r="P169" s="692"/>
      <c r="Q169" s="692"/>
      <c r="R169" s="692"/>
      <c r="T169" s="115"/>
      <c r="U169" s="115">
        <v>-1E-4</v>
      </c>
      <c r="V169" s="115">
        <v>-3.6700000000000003E-2</v>
      </c>
      <c r="W169" s="115"/>
      <c r="X169" s="115"/>
      <c r="Y169" s="115"/>
    </row>
    <row r="170" spans="1:25" ht="20.45">
      <c r="A170" s="169">
        <v>44936</v>
      </c>
      <c r="B170" s="169"/>
      <c r="C170" s="700" t="s">
        <v>548</v>
      </c>
      <c r="D170" s="692"/>
      <c r="E170" s="692"/>
      <c r="F170" s="692"/>
      <c r="G170" s="692"/>
      <c r="H170" s="692">
        <v>24.4</v>
      </c>
      <c r="I170" s="692">
        <v>23.45</v>
      </c>
      <c r="J170" s="692"/>
      <c r="K170" s="692"/>
      <c r="L170" s="692"/>
      <c r="M170" s="692"/>
      <c r="N170" s="692"/>
      <c r="O170" s="692" t="s">
        <v>549</v>
      </c>
      <c r="P170" s="692"/>
      <c r="Q170" s="692"/>
      <c r="R170" s="692"/>
      <c r="S170" s="291">
        <v>55313</v>
      </c>
      <c r="T170" s="115"/>
      <c r="U170" s="115"/>
      <c r="V170" s="115"/>
      <c r="W170" s="115"/>
      <c r="X170" s="115"/>
      <c r="Y170" s="115"/>
    </row>
    <row r="171" spans="1:25">
      <c r="A171" s="169">
        <v>44936</v>
      </c>
      <c r="B171" s="169"/>
      <c r="C171" s="700"/>
      <c r="D171" s="692">
        <v>21.72</v>
      </c>
      <c r="E171" s="692"/>
      <c r="F171" s="692"/>
      <c r="G171" s="692"/>
      <c r="H171" s="692">
        <v>24.4</v>
      </c>
      <c r="I171" s="692">
        <v>23.45</v>
      </c>
      <c r="J171" s="692"/>
      <c r="K171" s="692"/>
      <c r="L171" s="692"/>
      <c r="M171" s="692"/>
      <c r="N171" s="692"/>
      <c r="O171" s="692"/>
      <c r="P171" s="692"/>
      <c r="Q171" s="692"/>
      <c r="R171" s="692"/>
      <c r="T171" s="115"/>
      <c r="U171" s="115">
        <v>0.13539999999999999</v>
      </c>
      <c r="V171" s="115">
        <v>-3.2199999999999999E-2</v>
      </c>
      <c r="W171" s="115"/>
      <c r="X171" s="115"/>
      <c r="Y171" s="115"/>
    </row>
    <row r="172" spans="1:25" ht="20.45">
      <c r="A172" s="169">
        <v>44936</v>
      </c>
      <c r="B172" s="169"/>
      <c r="C172" s="700" t="s">
        <v>550</v>
      </c>
      <c r="D172" s="692">
        <v>21.76</v>
      </c>
      <c r="E172" s="692">
        <v>23.44</v>
      </c>
      <c r="F172" s="692">
        <v>21.16</v>
      </c>
      <c r="G172" s="692">
        <v>25.34</v>
      </c>
      <c r="H172" s="692">
        <v>24.4</v>
      </c>
      <c r="I172" s="692">
        <v>23.45</v>
      </c>
      <c r="J172" s="692"/>
      <c r="K172" s="692"/>
      <c r="L172" s="692"/>
      <c r="M172" s="692"/>
      <c r="N172" s="692"/>
      <c r="O172" s="692" t="s">
        <v>472</v>
      </c>
      <c r="P172" s="692"/>
      <c r="Q172" s="692"/>
      <c r="R172" s="692"/>
      <c r="T172" s="115"/>
      <c r="U172" s="115"/>
      <c r="V172" s="115"/>
      <c r="W172" s="116">
        <v>797.2</v>
      </c>
      <c r="X172" s="116">
        <v>606.70000000000005</v>
      </c>
      <c r="Y172" s="116"/>
    </row>
    <row r="173" spans="1:25">
      <c r="A173" s="169">
        <v>44936</v>
      </c>
      <c r="B173" s="169"/>
      <c r="C173" s="700"/>
      <c r="D173" s="692">
        <v>21.76</v>
      </c>
      <c r="E173" s="692">
        <v>23.44</v>
      </c>
      <c r="F173" s="692">
        <v>21.16</v>
      </c>
      <c r="G173" s="692">
        <v>25.34</v>
      </c>
      <c r="H173" s="692">
        <v>24.4</v>
      </c>
      <c r="I173" s="692">
        <v>23.45</v>
      </c>
      <c r="J173" s="692"/>
      <c r="K173" s="692"/>
      <c r="L173" s="692"/>
      <c r="M173" s="692"/>
      <c r="N173" s="692"/>
      <c r="O173" s="692" t="s">
        <v>51</v>
      </c>
      <c r="P173" s="692"/>
      <c r="Q173" s="692"/>
      <c r="R173" s="692"/>
      <c r="T173" s="115"/>
      <c r="U173" s="115">
        <v>8.0000000000000002E-3</v>
      </c>
      <c r="V173" s="115">
        <v>-2E-3</v>
      </c>
      <c r="W173" s="115"/>
      <c r="X173" s="115"/>
      <c r="Y173" s="115"/>
    </row>
    <row r="174" spans="1:25" ht="20.45">
      <c r="A174" s="169">
        <v>44936</v>
      </c>
      <c r="B174" s="169"/>
      <c r="C174" s="700" t="s">
        <v>551</v>
      </c>
      <c r="D174" s="692">
        <v>21.76</v>
      </c>
      <c r="E174" s="692">
        <v>23.44</v>
      </c>
      <c r="F174" s="692">
        <v>21.16</v>
      </c>
      <c r="G174" s="692">
        <v>25.34</v>
      </c>
      <c r="H174" s="692">
        <v>24.4</v>
      </c>
      <c r="I174" s="692">
        <v>23.45</v>
      </c>
      <c r="J174" s="692"/>
      <c r="K174" s="692"/>
      <c r="L174" s="692"/>
      <c r="M174" s="692"/>
      <c r="N174" s="692"/>
      <c r="O174" s="692" t="s">
        <v>51</v>
      </c>
      <c r="P174" s="692">
        <v>1000</v>
      </c>
      <c r="Q174" s="692"/>
      <c r="R174" s="692"/>
      <c r="S174" s="291">
        <v>63307</v>
      </c>
      <c r="T174" s="115"/>
      <c r="U174" s="115"/>
      <c r="V174" s="115"/>
      <c r="W174" s="115"/>
      <c r="X174" s="115"/>
      <c r="Y174" s="115"/>
    </row>
    <row r="175" spans="1:25" ht="20.45">
      <c r="A175" s="169">
        <v>44936</v>
      </c>
      <c r="B175" s="169"/>
      <c r="C175" s="700" t="s">
        <v>552</v>
      </c>
      <c r="D175" s="692">
        <v>21.76</v>
      </c>
      <c r="E175" s="692">
        <v>23.44</v>
      </c>
      <c r="F175" s="692">
        <v>21.16</v>
      </c>
      <c r="G175" s="692">
        <v>25.34</v>
      </c>
      <c r="H175" s="692">
        <v>24.4</v>
      </c>
      <c r="I175" s="692">
        <v>23.45</v>
      </c>
      <c r="J175" s="692"/>
      <c r="K175" s="692"/>
      <c r="L175" s="692"/>
      <c r="M175" s="692"/>
      <c r="N175" s="692"/>
      <c r="O175" s="692" t="s">
        <v>553</v>
      </c>
      <c r="P175" s="692">
        <v>1000</v>
      </c>
      <c r="Q175" s="692"/>
      <c r="R175" s="692"/>
      <c r="S175" s="291">
        <v>63840</v>
      </c>
      <c r="T175" s="115"/>
      <c r="U175" s="115"/>
      <c r="V175" s="115"/>
      <c r="W175" s="115"/>
      <c r="X175" s="115"/>
      <c r="Y175" s="115"/>
    </row>
    <row r="176" spans="1:25" ht="20.45">
      <c r="A176" s="169">
        <v>44937</v>
      </c>
      <c r="B176" s="169"/>
      <c r="C176" s="700" t="s">
        <v>554</v>
      </c>
      <c r="D176" s="692"/>
      <c r="E176" s="692"/>
      <c r="F176" s="692"/>
      <c r="G176" s="692"/>
      <c r="H176" s="692">
        <v>24.4</v>
      </c>
      <c r="I176" s="692">
        <v>23.45</v>
      </c>
      <c r="J176" s="692">
        <v>101.5</v>
      </c>
      <c r="K176" s="692">
        <v>125.7</v>
      </c>
      <c r="L176" s="692">
        <v>0</v>
      </c>
      <c r="M176" s="692"/>
      <c r="N176" s="692"/>
      <c r="O176" s="692"/>
      <c r="P176" s="692"/>
      <c r="Q176" s="692"/>
      <c r="R176" s="692"/>
      <c r="T176" s="115"/>
      <c r="U176" s="115"/>
      <c r="V176" s="115"/>
      <c r="W176" s="115"/>
      <c r="X176" s="115"/>
      <c r="Y176" s="115"/>
    </row>
    <row r="177" spans="1:26" s="180" customFormat="1" ht="51">
      <c r="A177" s="178">
        <v>44937</v>
      </c>
      <c r="B177" s="178"/>
      <c r="C177" s="268" t="s">
        <v>555</v>
      </c>
      <c r="D177" s="179"/>
      <c r="E177" s="179"/>
      <c r="F177" s="179"/>
      <c r="G177" s="179"/>
      <c r="H177" s="692">
        <v>24.4</v>
      </c>
      <c r="I177" s="692">
        <v>23.45</v>
      </c>
      <c r="J177" s="179">
        <v>101.5</v>
      </c>
      <c r="K177" s="179">
        <v>125.7</v>
      </c>
      <c r="L177" s="179">
        <v>0</v>
      </c>
      <c r="M177" s="179"/>
      <c r="N177" s="179"/>
      <c r="O177" s="179" t="s">
        <v>556</v>
      </c>
      <c r="P177" s="179">
        <v>1000</v>
      </c>
      <c r="Q177" s="179"/>
      <c r="R177" s="179"/>
      <c r="S177" s="297">
        <v>92005</v>
      </c>
      <c r="T177" s="121"/>
      <c r="U177" s="121">
        <v>7.1999999999999998E-3</v>
      </c>
      <c r="V177" s="121">
        <v>4.0000000000000002E-4</v>
      </c>
      <c r="W177" s="121"/>
      <c r="X177" s="121"/>
      <c r="Y177" s="121"/>
      <c r="Z177" s="163"/>
    </row>
    <row r="178" spans="1:26" ht="40.9">
      <c r="A178" s="169">
        <v>44937</v>
      </c>
      <c r="B178" s="169"/>
      <c r="C178" s="700" t="s">
        <v>557</v>
      </c>
      <c r="D178" s="692"/>
      <c r="E178" s="692"/>
      <c r="F178" s="692"/>
      <c r="G178" s="692"/>
      <c r="H178" s="692"/>
      <c r="I178" s="692"/>
      <c r="J178" s="692">
        <v>111.505</v>
      </c>
      <c r="K178" s="692">
        <v>148.80099999999999</v>
      </c>
      <c r="L178" s="692">
        <v>0</v>
      </c>
      <c r="M178" s="692"/>
      <c r="N178" s="692"/>
      <c r="O178" s="692"/>
      <c r="P178" s="692"/>
      <c r="Q178" s="692"/>
      <c r="R178" s="692"/>
      <c r="T178" s="115"/>
      <c r="U178" s="115"/>
      <c r="V178" s="115"/>
      <c r="W178" s="115">
        <v>797.7</v>
      </c>
      <c r="X178" s="115">
        <v>606.1</v>
      </c>
      <c r="Y178" s="115"/>
    </row>
    <row r="179" spans="1:26" ht="51">
      <c r="A179" s="169">
        <v>44937</v>
      </c>
      <c r="B179" s="169"/>
      <c r="C179" s="700" t="s">
        <v>558</v>
      </c>
      <c r="D179" s="692"/>
      <c r="E179" s="692"/>
      <c r="F179" s="692"/>
      <c r="G179" s="692"/>
      <c r="H179" s="692"/>
      <c r="I179" s="692"/>
      <c r="J179" s="692">
        <v>124.405</v>
      </c>
      <c r="K179" s="692">
        <v>142.40100000000001</v>
      </c>
      <c r="L179" s="692">
        <v>0</v>
      </c>
      <c r="M179" s="692"/>
      <c r="N179" s="692"/>
      <c r="O179" s="692" t="s">
        <v>559</v>
      </c>
      <c r="P179" s="692"/>
      <c r="Q179" s="692"/>
      <c r="R179" s="692">
        <v>3.4667659999999998</v>
      </c>
      <c r="S179" s="291">
        <v>844</v>
      </c>
      <c r="T179" s="115"/>
      <c r="U179" s="115"/>
      <c r="V179" s="115"/>
      <c r="W179" s="115">
        <v>797.4</v>
      </c>
      <c r="X179" s="115">
        <v>606.29999999999995</v>
      </c>
      <c r="Y179" s="115"/>
    </row>
    <row r="180" spans="1:26" ht="51">
      <c r="A180" s="169">
        <v>44937</v>
      </c>
      <c r="B180" s="169"/>
      <c r="C180" s="700" t="s">
        <v>560</v>
      </c>
      <c r="D180" s="692"/>
      <c r="E180" s="692"/>
      <c r="F180" s="692"/>
      <c r="G180" s="692"/>
      <c r="H180" s="692"/>
      <c r="I180" s="692"/>
      <c r="J180" s="692">
        <v>100.693</v>
      </c>
      <c r="K180" s="692">
        <v>100.398</v>
      </c>
      <c r="L180" s="692">
        <v>0</v>
      </c>
      <c r="M180" s="692"/>
      <c r="N180" s="692"/>
      <c r="O180" s="692"/>
      <c r="P180" s="692"/>
      <c r="Q180" s="692"/>
      <c r="R180" s="692">
        <v>3.4587720000000002</v>
      </c>
      <c r="S180" s="291">
        <v>2209</v>
      </c>
      <c r="T180" s="115"/>
      <c r="U180" s="115"/>
      <c r="V180" s="115"/>
      <c r="W180" s="115">
        <v>797.5</v>
      </c>
      <c r="X180" s="115">
        <v>605.5</v>
      </c>
      <c r="Y180" s="115"/>
    </row>
    <row r="181" spans="1:26" ht="51">
      <c r="A181" s="169">
        <v>44937</v>
      </c>
      <c r="B181" s="169"/>
      <c r="C181" s="700" t="s">
        <v>561</v>
      </c>
      <c r="D181" s="692"/>
      <c r="E181" s="692"/>
      <c r="F181" s="692"/>
      <c r="G181" s="692"/>
      <c r="H181" s="692"/>
      <c r="I181" s="692"/>
      <c r="J181" s="692">
        <v>88.503</v>
      </c>
      <c r="K181" s="692">
        <v>108.398</v>
      </c>
      <c r="L181" s="692">
        <v>0</v>
      </c>
      <c r="M181" s="692"/>
      <c r="N181" s="692"/>
      <c r="O181" s="692" t="s">
        <v>562</v>
      </c>
      <c r="P181" s="692"/>
      <c r="Q181" s="692"/>
      <c r="R181" s="692"/>
      <c r="S181" s="291">
        <v>3130</v>
      </c>
      <c r="T181" s="115"/>
      <c r="U181" s="115"/>
      <c r="V181" s="115"/>
      <c r="W181" s="115">
        <v>797.8</v>
      </c>
      <c r="X181" s="115">
        <v>606.70000000000005</v>
      </c>
      <c r="Y181" s="115"/>
    </row>
    <row r="182" spans="1:26" ht="20.45">
      <c r="A182" s="169">
        <v>44937</v>
      </c>
      <c r="B182" s="169"/>
      <c r="C182" s="700" t="s">
        <v>563</v>
      </c>
      <c r="D182" s="692"/>
      <c r="E182" s="692"/>
      <c r="F182" s="692"/>
      <c r="G182" s="692"/>
      <c r="H182" s="692"/>
      <c r="I182" s="692"/>
      <c r="J182" s="692">
        <v>-76.099999999999994</v>
      </c>
      <c r="K182" s="692">
        <v>125.7</v>
      </c>
      <c r="L182" s="692">
        <v>0</v>
      </c>
      <c r="M182" s="692"/>
      <c r="N182" s="692"/>
      <c r="O182" s="692"/>
      <c r="P182" s="692"/>
      <c r="Q182" s="692"/>
      <c r="R182" s="692"/>
      <c r="T182" s="115"/>
      <c r="U182" s="115"/>
      <c r="V182" s="115"/>
      <c r="W182" s="115"/>
      <c r="X182" s="115"/>
      <c r="Y182" s="115"/>
    </row>
    <row r="183" spans="1:26" s="180" customFormat="1" ht="81.599999999999994">
      <c r="A183" s="178">
        <v>44937</v>
      </c>
      <c r="B183" s="178"/>
      <c r="C183" s="268" t="s">
        <v>564</v>
      </c>
      <c r="D183" s="179"/>
      <c r="E183" s="179"/>
      <c r="F183" s="179"/>
      <c r="G183" s="179"/>
      <c r="H183" s="179"/>
      <c r="I183" s="179"/>
      <c r="J183" s="179"/>
      <c r="K183" s="179"/>
      <c r="L183" s="179">
        <v>0</v>
      </c>
      <c r="M183" s="179"/>
      <c r="N183" s="179"/>
      <c r="O183" s="179" t="s">
        <v>45</v>
      </c>
      <c r="P183" s="179"/>
      <c r="Q183" s="179"/>
      <c r="R183" s="179"/>
      <c r="S183" s="297">
        <v>4719</v>
      </c>
      <c r="T183" s="121"/>
      <c r="U183" s="121">
        <v>6.1999999999999998E-3</v>
      </c>
      <c r="V183" s="121">
        <v>-4.4000000000000003E-3</v>
      </c>
      <c r="W183" s="121"/>
      <c r="X183" s="121"/>
      <c r="Y183" s="121"/>
      <c r="Z183" s="163"/>
    </row>
    <row r="184" spans="1:26" ht="20.45">
      <c r="A184" s="169">
        <v>44937</v>
      </c>
      <c r="B184" s="169"/>
      <c r="C184" s="700" t="s">
        <v>565</v>
      </c>
      <c r="D184" s="692"/>
      <c r="E184" s="692"/>
      <c r="F184" s="692"/>
      <c r="G184" s="692"/>
      <c r="H184" s="692"/>
      <c r="I184" s="692"/>
      <c r="J184" s="692">
        <v>-60.597000000000001</v>
      </c>
      <c r="K184" s="692">
        <v>108.399</v>
      </c>
      <c r="L184" s="692">
        <v>0</v>
      </c>
      <c r="M184" s="692"/>
      <c r="N184" s="692"/>
      <c r="O184" s="168">
        <v>1130</v>
      </c>
      <c r="P184" s="692"/>
      <c r="Q184" s="692"/>
      <c r="R184" s="692"/>
      <c r="T184" s="115"/>
      <c r="U184" s="115"/>
      <c r="V184" s="115"/>
      <c r="W184" s="115">
        <v>797.2</v>
      </c>
      <c r="X184" s="115">
        <v>606.70000000000005</v>
      </c>
      <c r="Y184" s="115"/>
    </row>
    <row r="185" spans="1:26" ht="20.45">
      <c r="A185" s="169">
        <v>44937</v>
      </c>
      <c r="B185" s="169"/>
      <c r="C185" s="700" t="s">
        <v>566</v>
      </c>
      <c r="D185" s="692"/>
      <c r="E185" s="692"/>
      <c r="F185" s="692"/>
      <c r="G185" s="692"/>
      <c r="H185" s="692"/>
      <c r="I185" s="692"/>
      <c r="J185" s="692">
        <v>-72.501999999999995</v>
      </c>
      <c r="K185" s="692">
        <v>100.199</v>
      </c>
      <c r="L185" s="692">
        <v>0</v>
      </c>
      <c r="M185" s="692"/>
      <c r="N185" s="692"/>
      <c r="O185" s="168">
        <v>1142</v>
      </c>
      <c r="P185" s="692"/>
      <c r="Q185" s="692"/>
      <c r="R185" s="692">
        <v>3.458844</v>
      </c>
      <c r="T185" s="115"/>
      <c r="U185" s="115"/>
      <c r="V185" s="115"/>
      <c r="W185" s="115">
        <v>795.5</v>
      </c>
      <c r="X185" s="115">
        <v>607.5</v>
      </c>
      <c r="Y185" s="115"/>
    </row>
    <row r="186" spans="1:26" ht="20.45">
      <c r="A186" s="169">
        <v>44937</v>
      </c>
      <c r="B186" s="169"/>
      <c r="C186" s="700" t="s">
        <v>567</v>
      </c>
      <c r="D186" s="692"/>
      <c r="E186" s="692"/>
      <c r="F186" s="692"/>
      <c r="G186" s="692"/>
      <c r="H186" s="692"/>
      <c r="I186" s="692"/>
      <c r="J186" s="692" t="s">
        <v>525</v>
      </c>
      <c r="K186" s="692" t="s">
        <v>568</v>
      </c>
      <c r="L186" s="692">
        <v>0</v>
      </c>
      <c r="M186" s="692"/>
      <c r="N186" s="692"/>
      <c r="O186" s="168">
        <v>1134</v>
      </c>
      <c r="P186" s="692"/>
      <c r="Q186" s="692"/>
      <c r="R186" s="692">
        <v>3.4668429999999999</v>
      </c>
      <c r="S186" s="291">
        <v>13252</v>
      </c>
      <c r="T186" s="115"/>
      <c r="U186" s="115"/>
      <c r="V186" s="115"/>
      <c r="W186" s="115">
        <v>796.4</v>
      </c>
      <c r="X186" s="115">
        <v>606.5</v>
      </c>
      <c r="Y186" s="115"/>
    </row>
    <row r="187" spans="1:26" ht="20.45">
      <c r="A187" s="169">
        <v>44937</v>
      </c>
      <c r="B187" s="169"/>
      <c r="C187" s="700" t="s">
        <v>569</v>
      </c>
      <c r="D187" s="692"/>
      <c r="E187" s="692"/>
      <c r="F187" s="692"/>
      <c r="G187" s="692"/>
      <c r="H187" s="692"/>
      <c r="I187" s="692"/>
      <c r="J187" s="692">
        <v>-83.617999999999995</v>
      </c>
      <c r="K187" s="692">
        <v>148.642</v>
      </c>
      <c r="L187" s="692">
        <v>0</v>
      </c>
      <c r="M187" s="692"/>
      <c r="N187" s="692"/>
      <c r="O187" s="168">
        <v>1120</v>
      </c>
      <c r="P187" s="692"/>
      <c r="Q187" s="692"/>
      <c r="R187" s="692"/>
      <c r="S187" s="291">
        <v>13948</v>
      </c>
      <c r="T187" s="115"/>
      <c r="U187" s="115"/>
      <c r="V187" s="115"/>
      <c r="W187" s="115">
        <v>797</v>
      </c>
      <c r="X187" s="115">
        <v>606.70000000000005</v>
      </c>
      <c r="Y187" s="115"/>
    </row>
    <row r="188" spans="1:26" s="180" customFormat="1" ht="40.9">
      <c r="A188" s="178">
        <v>44937</v>
      </c>
      <c r="B188" s="178"/>
      <c r="C188" s="700" t="s">
        <v>570</v>
      </c>
      <c r="D188" s="179"/>
      <c r="E188" s="179"/>
      <c r="F188" s="179"/>
      <c r="G188" s="179"/>
      <c r="H188" s="179"/>
      <c r="I188" s="179"/>
      <c r="J188" s="179">
        <v>101.5</v>
      </c>
      <c r="K188" s="179">
        <v>125.7</v>
      </c>
      <c r="L188" s="179">
        <v>0</v>
      </c>
      <c r="M188" s="179"/>
      <c r="N188" s="179"/>
      <c r="O188" s="179" t="s">
        <v>290</v>
      </c>
      <c r="P188" s="179"/>
      <c r="Q188" s="179"/>
      <c r="R188" s="179"/>
      <c r="S188" s="297">
        <v>15210</v>
      </c>
      <c r="T188" s="121"/>
      <c r="U188" s="121">
        <v>6.1999999999999998E-3</v>
      </c>
      <c r="V188" s="121">
        <v>-4.7999999999999996E-3</v>
      </c>
      <c r="W188" s="121"/>
      <c r="X188" s="121"/>
      <c r="Y188" s="121"/>
      <c r="Z188" s="163"/>
    </row>
    <row r="189" spans="1:26" ht="40.9">
      <c r="A189" s="169">
        <v>44938</v>
      </c>
      <c r="B189" s="169"/>
      <c r="C189" s="700" t="s">
        <v>571</v>
      </c>
      <c r="D189" s="692"/>
      <c r="E189" s="692"/>
      <c r="F189" s="692"/>
      <c r="G189" s="692"/>
      <c r="H189" s="692"/>
      <c r="I189" s="692"/>
      <c r="J189" s="181">
        <v>-96.290999999999997</v>
      </c>
      <c r="K189" s="181">
        <v>142.101</v>
      </c>
      <c r="L189" s="692"/>
      <c r="M189" s="692"/>
      <c r="N189" s="692"/>
      <c r="O189" s="692"/>
      <c r="P189" s="692"/>
      <c r="Q189" s="692"/>
      <c r="R189" s="692"/>
      <c r="T189" s="115"/>
      <c r="U189" s="115"/>
      <c r="V189" s="115"/>
      <c r="W189" s="115"/>
      <c r="X189" s="115"/>
      <c r="Y189" s="115"/>
    </row>
    <row r="190" spans="1:26" ht="30.6">
      <c r="A190" s="169">
        <v>44947</v>
      </c>
      <c r="B190" s="169"/>
      <c r="C190" s="700" t="s">
        <v>572</v>
      </c>
      <c r="D190" s="692"/>
      <c r="E190" s="692"/>
      <c r="F190" s="692"/>
      <c r="G190" s="692"/>
      <c r="H190" s="692"/>
      <c r="I190" s="692"/>
      <c r="J190" s="692"/>
      <c r="K190" s="692"/>
      <c r="L190" s="692"/>
      <c r="M190" s="692"/>
      <c r="N190" s="692"/>
      <c r="O190" s="692"/>
      <c r="P190" s="692"/>
      <c r="Q190" s="692"/>
      <c r="R190" s="692"/>
      <c r="T190" s="115"/>
      <c r="U190" s="115"/>
      <c r="V190" s="115"/>
      <c r="W190" s="115"/>
      <c r="X190" s="115"/>
      <c r="Y190" s="115"/>
    </row>
    <row r="191" spans="1:26" ht="20.45">
      <c r="A191" s="169">
        <v>44947</v>
      </c>
      <c r="B191" s="169"/>
      <c r="C191" s="700" t="s">
        <v>573</v>
      </c>
      <c r="D191" s="692"/>
      <c r="E191" s="692"/>
      <c r="F191" s="692"/>
      <c r="G191" s="692"/>
      <c r="H191" s="692"/>
      <c r="I191" s="692"/>
      <c r="J191" s="692">
        <v>-76.099999999999994</v>
      </c>
      <c r="K191" s="692">
        <v>125.7</v>
      </c>
      <c r="L191" s="692"/>
      <c r="M191" s="692"/>
      <c r="N191" s="692"/>
      <c r="O191" s="692" t="s">
        <v>290</v>
      </c>
      <c r="P191" s="692">
        <v>1000</v>
      </c>
      <c r="Q191" s="692"/>
      <c r="R191" s="692"/>
      <c r="S191" s="291">
        <v>14647</v>
      </c>
      <c r="T191" s="115"/>
      <c r="U191" s="115">
        <v>4.1000000000000003E-3</v>
      </c>
      <c r="V191" s="115">
        <v>-2E-3</v>
      </c>
      <c r="W191" s="115"/>
      <c r="X191" s="115"/>
      <c r="Y191" s="115"/>
    </row>
    <row r="192" spans="1:26" ht="20.45">
      <c r="A192" s="169">
        <v>44947</v>
      </c>
      <c r="B192" s="169"/>
      <c r="C192" s="700" t="s">
        <v>574</v>
      </c>
      <c r="D192" s="692"/>
      <c r="E192" s="692"/>
      <c r="F192" s="692"/>
      <c r="G192" s="692"/>
      <c r="H192" s="692"/>
      <c r="I192" s="692"/>
      <c r="J192" s="692">
        <v>-60.655999999999999</v>
      </c>
      <c r="K192" s="692">
        <v>108.44799999999999</v>
      </c>
      <c r="L192" s="692"/>
      <c r="M192" s="692"/>
      <c r="N192" s="692"/>
      <c r="O192" s="692"/>
      <c r="P192" s="692"/>
      <c r="Q192" s="692"/>
      <c r="R192" s="692"/>
      <c r="T192" s="115"/>
      <c r="U192" s="115"/>
      <c r="V192" s="115"/>
      <c r="W192" s="115">
        <v>796.9</v>
      </c>
      <c r="X192" s="115">
        <v>607.9</v>
      </c>
      <c r="Y192" s="115"/>
    </row>
    <row r="193" spans="1:26">
      <c r="A193" s="169">
        <v>44947</v>
      </c>
      <c r="B193" s="169"/>
      <c r="C193" s="700" t="s">
        <v>575</v>
      </c>
      <c r="D193" s="692"/>
      <c r="E193" s="692"/>
      <c r="F193" s="692"/>
      <c r="G193" s="692"/>
      <c r="H193" s="692"/>
      <c r="I193" s="692"/>
      <c r="J193" s="692">
        <v>-71.5</v>
      </c>
      <c r="K193" s="692">
        <v>100.2</v>
      </c>
      <c r="L193" s="692"/>
      <c r="M193" s="692"/>
      <c r="N193" s="692"/>
      <c r="O193" s="168">
        <v>1144</v>
      </c>
      <c r="P193" s="692"/>
      <c r="Q193" s="692"/>
      <c r="R193" s="692">
        <v>3.4588040000000002</v>
      </c>
      <c r="S193" s="291">
        <v>25636</v>
      </c>
      <c r="T193" s="115"/>
      <c r="U193" s="115"/>
      <c r="V193" s="115"/>
      <c r="W193" s="115">
        <v>781</v>
      </c>
      <c r="X193" s="115">
        <v>620</v>
      </c>
      <c r="Y193" s="115"/>
      <c r="Z193" s="182">
        <f>R193-R185</f>
        <v>-3.9999999999817959E-5</v>
      </c>
    </row>
    <row r="194" spans="1:26">
      <c r="A194" s="169">
        <v>44947</v>
      </c>
      <c r="B194" s="169"/>
      <c r="C194" s="700" t="s">
        <v>576</v>
      </c>
      <c r="D194" s="692"/>
      <c r="E194" s="692"/>
      <c r="F194" s="692"/>
      <c r="G194" s="692"/>
      <c r="H194" s="692"/>
      <c r="I194" s="692"/>
      <c r="J194" s="692">
        <v>-97.507999999999996</v>
      </c>
      <c r="K194" s="692">
        <v>142.6</v>
      </c>
      <c r="L194" s="692"/>
      <c r="M194" s="692"/>
      <c r="N194" s="692"/>
      <c r="O194" s="692"/>
      <c r="P194" s="692"/>
      <c r="Q194" s="692"/>
      <c r="R194" s="692">
        <v>3.4669289999999999</v>
      </c>
      <c r="S194" s="291">
        <v>31536</v>
      </c>
      <c r="T194" s="115"/>
      <c r="U194" s="115"/>
      <c r="V194" s="115"/>
      <c r="W194" s="115">
        <v>775</v>
      </c>
      <c r="X194" s="115">
        <v>613</v>
      </c>
      <c r="Y194" s="115"/>
      <c r="Z194" s="182">
        <f>R194-R186</f>
        <v>8.6000000000030496E-5</v>
      </c>
    </row>
    <row r="195" spans="1:26">
      <c r="A195" s="169">
        <v>44947</v>
      </c>
      <c r="B195" s="169"/>
      <c r="C195" s="700" t="s">
        <v>577</v>
      </c>
      <c r="D195" s="692"/>
      <c r="E195" s="692"/>
      <c r="F195" s="692"/>
      <c r="G195" s="692"/>
      <c r="H195" s="692"/>
      <c r="I195" s="692"/>
      <c r="J195" s="692">
        <v>-83.76</v>
      </c>
      <c r="K195" s="692">
        <v>148.69</v>
      </c>
      <c r="L195" s="692"/>
      <c r="M195" s="692"/>
      <c r="N195" s="692"/>
      <c r="O195" s="692"/>
      <c r="P195" s="692"/>
      <c r="Q195" s="692"/>
      <c r="R195" s="692"/>
      <c r="T195" s="115"/>
      <c r="U195" s="115"/>
      <c r="V195" s="115"/>
      <c r="W195" s="115">
        <v>797.2</v>
      </c>
      <c r="X195" s="115">
        <v>607</v>
      </c>
      <c r="Y195" s="115"/>
    </row>
    <row r="196" spans="1:26" ht="20.45">
      <c r="A196" s="169">
        <v>44947</v>
      </c>
      <c r="B196" s="169"/>
      <c r="C196" s="700" t="s">
        <v>578</v>
      </c>
      <c r="D196" s="692"/>
      <c r="E196" s="692"/>
      <c r="F196" s="692"/>
      <c r="G196" s="692"/>
      <c r="H196" s="692"/>
      <c r="I196" s="692"/>
      <c r="J196" s="692">
        <v>101.54</v>
      </c>
      <c r="K196" s="692">
        <v>125.7</v>
      </c>
      <c r="L196" s="692"/>
      <c r="M196" s="692"/>
      <c r="N196" s="692"/>
      <c r="O196" s="692" t="s">
        <v>549</v>
      </c>
      <c r="P196" s="692"/>
      <c r="Q196" s="692"/>
      <c r="R196" s="692"/>
      <c r="S196" s="291">
        <v>41034</v>
      </c>
      <c r="T196" s="115"/>
      <c r="U196" s="115">
        <v>7.6E-3</v>
      </c>
      <c r="V196" s="115">
        <v>1.1000000000000001E-3</v>
      </c>
      <c r="W196" s="115"/>
      <c r="X196" s="115"/>
      <c r="Y196" s="115"/>
    </row>
    <row r="197" spans="1:26" s="186" customFormat="1">
      <c r="A197" s="183">
        <v>44947</v>
      </c>
      <c r="B197" s="183"/>
      <c r="C197" s="269" t="s">
        <v>579</v>
      </c>
      <c r="D197" s="184"/>
      <c r="E197" s="184"/>
      <c r="F197" s="184"/>
      <c r="G197" s="184"/>
      <c r="H197" s="184"/>
      <c r="I197" s="184"/>
      <c r="J197" s="184">
        <v>88.352999999999994</v>
      </c>
      <c r="K197" s="184">
        <v>108.404</v>
      </c>
      <c r="L197" s="184"/>
      <c r="M197" s="184"/>
      <c r="N197" s="184"/>
      <c r="O197" s="184"/>
      <c r="P197" s="184"/>
      <c r="Q197" s="184"/>
      <c r="R197" s="184"/>
      <c r="S197" s="298"/>
      <c r="T197" s="122"/>
      <c r="U197" s="122"/>
      <c r="V197" s="122"/>
      <c r="W197" s="122"/>
      <c r="X197" s="122"/>
      <c r="Y197" s="122"/>
      <c r="Z197" s="185"/>
    </row>
    <row r="198" spans="1:26" s="186" customFormat="1">
      <c r="A198" s="183">
        <v>44947</v>
      </c>
      <c r="B198" s="183"/>
      <c r="C198" s="269" t="s">
        <v>580</v>
      </c>
      <c r="D198" s="184"/>
      <c r="E198" s="184"/>
      <c r="F198" s="184"/>
      <c r="G198" s="184"/>
      <c r="H198" s="184"/>
      <c r="I198" s="184"/>
      <c r="J198" s="184">
        <v>99.701999999999998</v>
      </c>
      <c r="K198" s="184">
        <v>102.4</v>
      </c>
      <c r="L198" s="184"/>
      <c r="M198" s="184"/>
      <c r="N198" s="184"/>
      <c r="O198" s="187">
        <v>1128</v>
      </c>
      <c r="P198" s="184"/>
      <c r="Q198" s="184">
        <v>6</v>
      </c>
      <c r="R198" s="184">
        <v>3.459209</v>
      </c>
      <c r="S198" s="298">
        <v>43535</v>
      </c>
      <c r="T198" s="122"/>
      <c r="U198" s="122">
        <v>759</v>
      </c>
      <c r="V198" s="122">
        <v>581</v>
      </c>
      <c r="W198" s="122"/>
      <c r="X198" s="122"/>
      <c r="Y198" s="122"/>
      <c r="Z198" s="188">
        <f>R198-R180</f>
        <v>4.3699999999979866E-4</v>
      </c>
    </row>
    <row r="199" spans="1:26">
      <c r="A199" s="169">
        <v>44947</v>
      </c>
      <c r="B199" s="169"/>
      <c r="C199" s="700" t="s">
        <v>581</v>
      </c>
      <c r="D199" s="692"/>
      <c r="E199" s="692"/>
      <c r="F199" s="692"/>
      <c r="G199" s="692"/>
      <c r="H199" s="692"/>
      <c r="I199" s="692"/>
      <c r="J199" s="692">
        <v>123.41500000000001</v>
      </c>
      <c r="K199" s="692">
        <v>144.4</v>
      </c>
      <c r="L199" s="692"/>
      <c r="M199" s="692"/>
      <c r="N199" s="692"/>
      <c r="O199" s="168">
        <v>1124</v>
      </c>
      <c r="P199" s="692"/>
      <c r="Q199" s="692">
        <v>6</v>
      </c>
      <c r="R199" s="692">
        <v>3.4672369999999999</v>
      </c>
      <c r="S199" s="291">
        <v>45219</v>
      </c>
      <c r="T199" s="115"/>
      <c r="U199" s="115"/>
      <c r="V199" s="115"/>
      <c r="W199" s="115"/>
      <c r="X199" s="115"/>
      <c r="Y199" s="115"/>
      <c r="Z199" s="182">
        <f>R199-R179</f>
        <v>4.7100000000011022E-4</v>
      </c>
    </row>
    <row r="200" spans="1:26">
      <c r="A200" s="169">
        <v>44947</v>
      </c>
      <c r="B200" s="169"/>
      <c r="C200" s="700" t="s">
        <v>582</v>
      </c>
      <c r="D200" s="692"/>
      <c r="E200" s="692"/>
      <c r="F200" s="692"/>
      <c r="G200" s="692"/>
      <c r="H200" s="692"/>
      <c r="I200" s="692"/>
      <c r="J200" s="692">
        <v>111.354</v>
      </c>
      <c r="K200" s="692">
        <v>140.80099999999999</v>
      </c>
      <c r="L200" s="692"/>
      <c r="M200" s="692"/>
      <c r="N200" s="692"/>
      <c r="O200" s="692"/>
      <c r="P200" s="692"/>
      <c r="Q200" s="692"/>
      <c r="R200" s="692"/>
      <c r="T200" s="115"/>
      <c r="U200" s="115"/>
      <c r="V200" s="115"/>
      <c r="W200" s="115">
        <v>796.1</v>
      </c>
      <c r="X200" s="115">
        <v>606.70000000000005</v>
      </c>
      <c r="Y200" s="115"/>
    </row>
    <row r="201" spans="1:26">
      <c r="A201" s="169">
        <v>44947</v>
      </c>
      <c r="B201" s="169"/>
      <c r="C201" s="700" t="s">
        <v>583</v>
      </c>
      <c r="D201" s="692"/>
      <c r="E201" s="692"/>
      <c r="F201" s="692"/>
      <c r="G201" s="692"/>
      <c r="H201" s="692"/>
      <c r="I201" s="692"/>
      <c r="J201" s="692"/>
      <c r="K201" s="692"/>
      <c r="L201" s="692"/>
      <c r="M201" s="692"/>
      <c r="N201" s="692"/>
      <c r="O201" s="692"/>
      <c r="P201" s="692"/>
      <c r="Q201" s="692"/>
      <c r="R201" s="692"/>
      <c r="T201" s="115"/>
      <c r="U201" s="115"/>
      <c r="V201" s="115"/>
      <c r="W201" s="115"/>
      <c r="X201" s="115"/>
      <c r="Y201" s="115"/>
    </row>
    <row r="202" spans="1:26" ht="20.45">
      <c r="A202" s="169">
        <v>44947</v>
      </c>
      <c r="B202" s="169"/>
      <c r="C202" s="700" t="s">
        <v>584</v>
      </c>
      <c r="D202" s="692"/>
      <c r="E202" s="692"/>
      <c r="F202" s="692"/>
      <c r="G202" s="692"/>
      <c r="H202" s="692"/>
      <c r="I202" s="692"/>
      <c r="J202" s="692"/>
      <c r="K202" s="692"/>
      <c r="L202" s="692"/>
      <c r="M202" s="692"/>
      <c r="N202" s="692"/>
      <c r="O202" s="692" t="s">
        <v>585</v>
      </c>
      <c r="P202" s="692">
        <v>2000</v>
      </c>
      <c r="Q202" s="692"/>
      <c r="R202" s="692"/>
      <c r="S202" s="291">
        <v>55646</v>
      </c>
      <c r="T202" s="115"/>
      <c r="U202" s="115"/>
      <c r="V202" s="115"/>
      <c r="W202" s="116">
        <v>808.4</v>
      </c>
      <c r="X202" s="116">
        <v>605.5</v>
      </c>
      <c r="Y202" s="116"/>
    </row>
    <row r="203" spans="1:26" ht="20.45">
      <c r="A203" s="169">
        <v>44947</v>
      </c>
      <c r="B203" s="169"/>
      <c r="C203" s="700" t="s">
        <v>586</v>
      </c>
      <c r="D203" s="692"/>
      <c r="E203" s="692"/>
      <c r="F203" s="692"/>
      <c r="G203" s="692"/>
      <c r="H203" s="692"/>
      <c r="I203" s="692"/>
      <c r="J203" s="692"/>
      <c r="K203" s="692"/>
      <c r="L203" s="692"/>
      <c r="M203" s="692"/>
      <c r="N203" s="692"/>
      <c r="O203" s="692" t="s">
        <v>585</v>
      </c>
      <c r="P203" s="692">
        <v>2000</v>
      </c>
      <c r="Q203" s="692"/>
      <c r="R203" s="692"/>
      <c r="S203" s="291">
        <v>55749</v>
      </c>
      <c r="T203" s="115"/>
      <c r="U203" s="115"/>
      <c r="V203" s="115"/>
      <c r="W203" s="115"/>
      <c r="X203" s="115"/>
      <c r="Y203" s="115"/>
    </row>
    <row r="204" spans="1:26" ht="20.45">
      <c r="A204" s="169">
        <v>44947</v>
      </c>
      <c r="B204" s="169"/>
      <c r="C204" s="700" t="s">
        <v>587</v>
      </c>
      <c r="D204" s="692"/>
      <c r="E204" s="692"/>
      <c r="F204" s="692"/>
      <c r="G204" s="692"/>
      <c r="H204" s="692"/>
      <c r="I204" s="692"/>
      <c r="J204" s="692"/>
      <c r="K204" s="692"/>
      <c r="L204" s="692"/>
      <c r="M204" s="692"/>
      <c r="N204" s="692"/>
      <c r="O204" s="692"/>
      <c r="P204" s="692"/>
      <c r="Q204" s="692"/>
      <c r="R204" s="692"/>
      <c r="S204" s="291">
        <v>63535</v>
      </c>
      <c r="T204" s="115"/>
      <c r="U204" s="115">
        <v>8.0000000000000002E-3</v>
      </c>
      <c r="V204" s="115">
        <v>2.1999999999999999E-2</v>
      </c>
      <c r="W204" s="115"/>
      <c r="X204" s="115"/>
      <c r="Y204" s="115"/>
    </row>
    <row r="205" spans="1:26" ht="20.45">
      <c r="A205" s="169">
        <v>44947</v>
      </c>
      <c r="B205" s="169"/>
      <c r="C205" s="700" t="s">
        <v>588</v>
      </c>
      <c r="D205" s="692"/>
      <c r="E205" s="692"/>
      <c r="F205" s="692"/>
      <c r="G205" s="692"/>
      <c r="H205" s="692">
        <v>24.15</v>
      </c>
      <c r="I205" s="692">
        <v>23.75</v>
      </c>
      <c r="J205" s="692"/>
      <c r="K205" s="692"/>
      <c r="L205" s="692"/>
      <c r="M205" s="692"/>
      <c r="N205" s="692"/>
      <c r="O205" s="692"/>
      <c r="P205" s="692"/>
      <c r="Q205" s="692">
        <v>17</v>
      </c>
      <c r="R205" s="692">
        <v>4.0322149999999999</v>
      </c>
      <c r="S205" s="291">
        <v>71249</v>
      </c>
      <c r="T205" s="115"/>
      <c r="U205" s="115"/>
      <c r="V205" s="115"/>
      <c r="W205" s="115">
        <v>131</v>
      </c>
      <c r="X205" s="115">
        <v>1058</v>
      </c>
      <c r="Y205" s="115"/>
      <c r="Z205" s="182">
        <f>R205-R160</f>
        <v>4.9899999999958311E-4</v>
      </c>
    </row>
    <row r="206" spans="1:26" ht="51">
      <c r="A206" s="169">
        <v>44947</v>
      </c>
      <c r="B206" s="169"/>
      <c r="C206" s="700" t="s">
        <v>589</v>
      </c>
      <c r="D206" s="692"/>
      <c r="E206" s="692"/>
      <c r="F206" s="692"/>
      <c r="G206" s="692"/>
      <c r="H206" s="692"/>
      <c r="I206" s="692"/>
      <c r="J206" s="692">
        <v>-83.37</v>
      </c>
      <c r="K206" s="692">
        <v>148.34</v>
      </c>
      <c r="L206" s="692"/>
      <c r="M206" s="692"/>
      <c r="N206" s="692"/>
      <c r="O206" s="168">
        <v>1130</v>
      </c>
      <c r="P206" s="692"/>
      <c r="Q206" s="692"/>
      <c r="R206" s="692"/>
      <c r="T206" s="115"/>
      <c r="U206" s="115"/>
      <c r="V206" s="115"/>
      <c r="W206" s="115">
        <v>808.1</v>
      </c>
      <c r="X206" s="115">
        <v>606.5</v>
      </c>
      <c r="Y206" s="115"/>
    </row>
    <row r="207" spans="1:26">
      <c r="A207" s="169">
        <v>44947</v>
      </c>
      <c r="B207" s="169"/>
      <c r="C207" s="700" t="s">
        <v>590</v>
      </c>
      <c r="D207" s="692"/>
      <c r="E207" s="692"/>
      <c r="F207" s="692"/>
      <c r="G207" s="692"/>
      <c r="H207" s="692"/>
      <c r="I207" s="692"/>
      <c r="J207" s="692">
        <v>-60.3</v>
      </c>
      <c r="K207" s="692">
        <v>108.15</v>
      </c>
      <c r="L207" s="692"/>
      <c r="M207" s="692"/>
      <c r="N207" s="692"/>
      <c r="O207" s="168">
        <v>1122</v>
      </c>
      <c r="P207" s="692"/>
      <c r="Q207" s="692"/>
      <c r="R207" s="692"/>
      <c r="T207" s="115"/>
      <c r="U207" s="115"/>
      <c r="V207" s="115"/>
      <c r="W207" s="115">
        <v>808.9</v>
      </c>
      <c r="X207" s="115">
        <v>605</v>
      </c>
      <c r="Y207" s="115"/>
    </row>
    <row r="208" spans="1:26">
      <c r="A208" s="169">
        <v>44947</v>
      </c>
      <c r="B208" s="169"/>
      <c r="C208" s="700" t="s">
        <v>579</v>
      </c>
      <c r="D208" s="692"/>
      <c r="E208" s="692"/>
      <c r="F208" s="692"/>
      <c r="G208" s="692"/>
      <c r="H208" s="692"/>
      <c r="I208" s="692"/>
      <c r="J208" s="692">
        <v>88.75</v>
      </c>
      <c r="K208" s="692">
        <v>108.15</v>
      </c>
      <c r="L208" s="692"/>
      <c r="M208" s="692"/>
      <c r="N208" s="692"/>
      <c r="O208" s="168">
        <v>1122</v>
      </c>
      <c r="P208" s="692"/>
      <c r="Q208" s="692"/>
      <c r="R208" s="692"/>
      <c r="T208" s="115"/>
      <c r="U208" s="115"/>
      <c r="V208" s="115"/>
      <c r="W208" s="115">
        <v>808</v>
      </c>
      <c r="X208" s="115">
        <v>605.70000000000005</v>
      </c>
      <c r="Y208" s="115"/>
    </row>
    <row r="209" spans="1:29">
      <c r="A209" s="169">
        <v>44947</v>
      </c>
      <c r="B209" s="169"/>
      <c r="C209" s="700" t="s">
        <v>582</v>
      </c>
      <c r="D209" s="692"/>
      <c r="E209" s="692"/>
      <c r="F209" s="692"/>
      <c r="G209" s="692"/>
      <c r="H209" s="692"/>
      <c r="I209" s="692"/>
      <c r="J209" s="692">
        <v>111.7</v>
      </c>
      <c r="K209" s="692">
        <v>148.5</v>
      </c>
      <c r="L209" s="692"/>
      <c r="M209" s="692"/>
      <c r="N209" s="692"/>
      <c r="O209" s="168">
        <v>1119</v>
      </c>
      <c r="P209" s="692"/>
      <c r="Q209" s="692"/>
      <c r="R209" s="692"/>
      <c r="T209" s="115"/>
      <c r="U209" s="115"/>
      <c r="V209" s="115"/>
      <c r="W209" s="115">
        <v>807.7</v>
      </c>
      <c r="X209" s="115">
        <v>606</v>
      </c>
      <c r="Y209" s="115"/>
    </row>
    <row r="210" spans="1:29" ht="40.9">
      <c r="A210" s="169">
        <v>44948</v>
      </c>
      <c r="B210" s="169"/>
      <c r="C210" s="700" t="s">
        <v>591</v>
      </c>
      <c r="D210" s="692"/>
      <c r="E210" s="692"/>
      <c r="F210" s="692"/>
      <c r="G210" s="692"/>
      <c r="H210" s="692"/>
      <c r="I210" s="692"/>
      <c r="J210" s="692"/>
      <c r="K210" s="692"/>
      <c r="L210" s="692"/>
      <c r="M210" s="692"/>
      <c r="N210" s="692"/>
      <c r="O210" s="692"/>
      <c r="P210" s="692"/>
      <c r="Q210" s="692"/>
      <c r="R210" s="692"/>
      <c r="T210" s="115"/>
      <c r="U210" s="115"/>
      <c r="V210" s="115"/>
      <c r="W210" s="115">
        <v>807</v>
      </c>
      <c r="X210" s="115">
        <v>607.9</v>
      </c>
      <c r="Y210" s="115"/>
    </row>
    <row r="211" spans="1:29" s="114" customFormat="1" ht="23.25" customHeight="1">
      <c r="A211" s="114" t="s">
        <v>0</v>
      </c>
      <c r="C211" s="270" t="s">
        <v>375</v>
      </c>
      <c r="D211" s="752" t="s">
        <v>6</v>
      </c>
      <c r="E211" s="752"/>
      <c r="F211" s="752" t="s">
        <v>7</v>
      </c>
      <c r="G211" s="752"/>
      <c r="H211" s="752" t="s">
        <v>8</v>
      </c>
      <c r="I211" s="752"/>
      <c r="J211" s="698" t="s">
        <v>592</v>
      </c>
      <c r="K211" s="698" t="s">
        <v>593</v>
      </c>
      <c r="L211" s="698" t="s">
        <v>594</v>
      </c>
      <c r="M211" s="698"/>
      <c r="N211" s="698"/>
      <c r="O211" s="698" t="s">
        <v>14</v>
      </c>
      <c r="P211" s="698" t="s">
        <v>595</v>
      </c>
      <c r="Q211" s="698" t="s">
        <v>15</v>
      </c>
      <c r="R211" s="698" t="s">
        <v>418</v>
      </c>
      <c r="S211" s="299" t="s">
        <v>17</v>
      </c>
      <c r="T211" s="114" t="s">
        <v>419</v>
      </c>
      <c r="U211" s="114" t="s">
        <v>420</v>
      </c>
      <c r="V211" s="114" t="s">
        <v>421</v>
      </c>
      <c r="W211" s="114" t="s">
        <v>422</v>
      </c>
      <c r="X211" s="114" t="s">
        <v>423</v>
      </c>
      <c r="Z211" s="189" t="s">
        <v>596</v>
      </c>
    </row>
    <row r="212" spans="1:29" ht="20.45">
      <c r="A212" s="169">
        <v>44949</v>
      </c>
      <c r="B212" s="169"/>
      <c r="C212" s="700" t="s">
        <v>597</v>
      </c>
      <c r="D212" s="692">
        <v>21.76</v>
      </c>
      <c r="E212" s="692">
        <v>23.44</v>
      </c>
      <c r="F212" s="692">
        <v>21.16</v>
      </c>
      <c r="G212" s="692">
        <v>25.34</v>
      </c>
      <c r="H212" s="692">
        <v>24.15</v>
      </c>
      <c r="I212" s="692">
        <v>23.75</v>
      </c>
      <c r="J212" s="692"/>
      <c r="K212" s="692"/>
      <c r="L212" s="692"/>
      <c r="M212" s="692"/>
      <c r="N212" s="692"/>
      <c r="O212" s="692"/>
      <c r="P212" s="692"/>
      <c r="Q212" s="692"/>
      <c r="R212" s="692"/>
      <c r="T212" s="115"/>
      <c r="U212" s="115">
        <v>2.5999999999999999E-2</v>
      </c>
      <c r="V212" s="115">
        <v>6.7000000000000004E-2</v>
      </c>
      <c r="W212" s="115">
        <v>840</v>
      </c>
      <c r="X212" s="115">
        <v>614</v>
      </c>
      <c r="Y212" s="115"/>
    </row>
    <row r="213" spans="1:29">
      <c r="A213" s="169">
        <v>44949</v>
      </c>
      <c r="B213" s="169"/>
      <c r="C213" s="700"/>
      <c r="D213" s="692">
        <v>21.75</v>
      </c>
      <c r="E213" s="692">
        <v>23.32</v>
      </c>
      <c r="F213" s="692">
        <v>21.04</v>
      </c>
      <c r="G213" s="692">
        <v>25.31</v>
      </c>
      <c r="H213" s="692"/>
      <c r="I213" s="692"/>
      <c r="J213" s="692"/>
      <c r="K213" s="692"/>
      <c r="L213" s="692"/>
      <c r="M213" s="692"/>
      <c r="N213" s="692"/>
      <c r="O213" s="692" t="s">
        <v>75</v>
      </c>
      <c r="P213" s="692"/>
      <c r="Q213" s="692"/>
      <c r="R213" s="692"/>
      <c r="S213" s="291">
        <v>1625</v>
      </c>
      <c r="T213" s="115"/>
      <c r="U213" s="120">
        <v>4.0000000000000001E-3</v>
      </c>
      <c r="V213" s="120">
        <v>1.0999999999999999E-2</v>
      </c>
      <c r="W213" s="115"/>
      <c r="X213" s="115"/>
      <c r="Y213" s="115"/>
    </row>
    <row r="214" spans="1:29" ht="20.45">
      <c r="A214" s="169">
        <v>44949</v>
      </c>
      <c r="B214" s="169"/>
      <c r="C214" s="700" t="s">
        <v>598</v>
      </c>
      <c r="D214" s="692"/>
      <c r="E214" s="692"/>
      <c r="F214" s="692"/>
      <c r="G214" s="692"/>
      <c r="H214" s="692"/>
      <c r="I214" s="692"/>
      <c r="J214" s="692"/>
      <c r="K214" s="692"/>
      <c r="L214" s="692"/>
      <c r="M214" s="692"/>
      <c r="N214" s="692"/>
      <c r="O214" s="692" t="s">
        <v>54</v>
      </c>
      <c r="P214" s="692"/>
      <c r="Q214" s="692"/>
      <c r="R214" s="692"/>
      <c r="S214" s="291">
        <v>2250</v>
      </c>
      <c r="T214" s="115"/>
      <c r="U214" s="115"/>
      <c r="V214" s="115"/>
      <c r="W214" s="120">
        <v>785</v>
      </c>
      <c r="X214" s="120">
        <v>597</v>
      </c>
      <c r="Y214" s="120"/>
    </row>
    <row r="215" spans="1:29">
      <c r="A215" s="169">
        <v>44949</v>
      </c>
      <c r="B215" s="169"/>
      <c r="C215" s="700" t="s">
        <v>599</v>
      </c>
      <c r="D215" s="692"/>
      <c r="E215" s="692"/>
      <c r="F215" s="692"/>
      <c r="G215" s="692"/>
      <c r="H215" s="692"/>
      <c r="I215" s="692"/>
      <c r="J215" s="692"/>
      <c r="K215" s="692"/>
      <c r="L215" s="692"/>
      <c r="M215" s="692"/>
      <c r="N215" s="692"/>
      <c r="O215" s="692"/>
      <c r="P215" s="692">
        <v>500</v>
      </c>
      <c r="Q215" s="692" t="s">
        <v>600</v>
      </c>
      <c r="R215" s="692">
        <v>4.0322009999999997</v>
      </c>
      <c r="S215" s="291">
        <v>4930</v>
      </c>
      <c r="T215" s="115"/>
      <c r="U215" s="115"/>
      <c r="V215" s="115"/>
      <c r="W215" s="115">
        <v>134</v>
      </c>
      <c r="X215" s="115">
        <v>1036</v>
      </c>
      <c r="Y215" s="115"/>
      <c r="Z215" s="163">
        <f>R215-R205</f>
        <v>-1.4000000000180535E-5</v>
      </c>
    </row>
    <row r="216" spans="1:29">
      <c r="A216" s="169">
        <v>44949</v>
      </c>
      <c r="B216" s="169"/>
      <c r="C216" s="700" t="s">
        <v>601</v>
      </c>
      <c r="D216" s="692"/>
      <c r="E216" s="692"/>
      <c r="F216" s="692"/>
      <c r="G216" s="692"/>
      <c r="H216" s="692"/>
      <c r="I216" s="692"/>
      <c r="J216" s="692">
        <v>101.5</v>
      </c>
      <c r="K216" s="692">
        <v>125.7</v>
      </c>
      <c r="L216" s="692"/>
      <c r="M216" s="692"/>
      <c r="N216" s="692"/>
      <c r="O216" s="692" t="s">
        <v>65</v>
      </c>
      <c r="P216" s="692"/>
      <c r="Q216" s="692"/>
      <c r="R216" s="692"/>
      <c r="S216" s="291">
        <v>24721</v>
      </c>
      <c r="T216" s="115"/>
      <c r="U216" s="115">
        <v>-4.0000000000000001E-3</v>
      </c>
      <c r="V216" s="115">
        <v>-1.4E-2</v>
      </c>
      <c r="W216" s="115"/>
      <c r="X216" s="115"/>
      <c r="Y216" s="115"/>
    </row>
    <row r="217" spans="1:29">
      <c r="A217" s="169">
        <v>44949</v>
      </c>
      <c r="B217" s="169"/>
      <c r="C217" s="700" t="s">
        <v>602</v>
      </c>
      <c r="D217" s="692"/>
      <c r="E217" s="692"/>
      <c r="F217" s="692"/>
      <c r="G217" s="692"/>
      <c r="H217" s="692"/>
      <c r="I217" s="692"/>
      <c r="J217" s="692">
        <v>89.4</v>
      </c>
      <c r="K217" s="692">
        <v>107.3</v>
      </c>
      <c r="L217" s="692"/>
      <c r="M217" s="692"/>
      <c r="N217" s="692"/>
      <c r="O217" s="168">
        <v>1141</v>
      </c>
      <c r="P217" s="692"/>
      <c r="Q217" s="692"/>
      <c r="R217" s="692"/>
      <c r="T217" s="115"/>
      <c r="U217" s="115"/>
      <c r="V217" s="115"/>
      <c r="W217" s="119">
        <v>806.8</v>
      </c>
      <c r="X217" s="119">
        <v>606.6</v>
      </c>
      <c r="Y217" s="119"/>
      <c r="Z217" s="173" t="s">
        <v>603</v>
      </c>
    </row>
    <row r="218" spans="1:29" ht="20.45">
      <c r="A218" s="190">
        <v>44950</v>
      </c>
      <c r="B218" s="190"/>
      <c r="C218" s="271" t="s">
        <v>604</v>
      </c>
      <c r="D218" s="191">
        <v>21.75</v>
      </c>
      <c r="E218" s="191">
        <v>23.32</v>
      </c>
      <c r="F218" s="191">
        <v>21.04</v>
      </c>
      <c r="G218" s="191">
        <v>25.31</v>
      </c>
      <c r="H218" s="191">
        <v>24.15</v>
      </c>
      <c r="I218" s="191">
        <v>23.75</v>
      </c>
      <c r="J218" s="192"/>
      <c r="K218" s="192"/>
      <c r="L218" s="192"/>
      <c r="M218" s="192"/>
      <c r="N218" s="192"/>
      <c r="O218" s="192"/>
      <c r="P218" s="192"/>
      <c r="Q218" s="192"/>
      <c r="R218" s="192"/>
      <c r="S218" s="300"/>
      <c r="T218" s="123"/>
      <c r="U218" s="123">
        <v>-2.6100000000000002E-2</v>
      </c>
      <c r="V218" s="123">
        <v>-4.2999999999999997E-2</v>
      </c>
      <c r="W218" s="123">
        <v>738.8</v>
      </c>
      <c r="X218" s="123">
        <v>572.70000000000005</v>
      </c>
      <c r="Y218" s="123"/>
      <c r="Z218" s="193"/>
      <c r="AA218" s="194"/>
      <c r="AB218" s="194"/>
      <c r="AC218" s="194"/>
    </row>
    <row r="219" spans="1:29">
      <c r="A219" s="123"/>
      <c r="B219" s="123"/>
      <c r="C219" s="271" t="s">
        <v>605</v>
      </c>
      <c r="D219" s="191">
        <v>21.75</v>
      </c>
      <c r="E219" s="191">
        <v>23.32</v>
      </c>
      <c r="F219" s="191">
        <v>21.04</v>
      </c>
      <c r="G219" s="191">
        <v>25.31</v>
      </c>
      <c r="H219" s="192">
        <v>24.1</v>
      </c>
      <c r="I219" s="192">
        <v>23.74</v>
      </c>
      <c r="J219" s="192"/>
      <c r="K219" s="192"/>
      <c r="L219" s="192"/>
      <c r="M219" s="192"/>
      <c r="N219" s="192"/>
      <c r="O219" s="192"/>
      <c r="P219" s="192"/>
      <c r="Q219" s="192"/>
      <c r="R219" s="192"/>
      <c r="S219" s="300"/>
      <c r="T219" s="123"/>
      <c r="U219" s="123"/>
      <c r="V219" s="123"/>
      <c r="W219" s="123"/>
      <c r="X219" s="123"/>
      <c r="Y219" s="123"/>
      <c r="Z219" s="193" t="s">
        <v>606</v>
      </c>
      <c r="AA219" s="194"/>
      <c r="AB219" s="194"/>
      <c r="AC219" s="194"/>
    </row>
    <row r="220" spans="1:29" ht="51">
      <c r="A220" s="123"/>
      <c r="B220" s="123"/>
      <c r="C220" s="271" t="s">
        <v>607</v>
      </c>
      <c r="D220" s="192"/>
      <c r="E220" s="192"/>
      <c r="F220" s="192"/>
      <c r="G220" s="192"/>
      <c r="H220" s="192"/>
      <c r="I220" s="192"/>
      <c r="J220" s="192"/>
      <c r="K220" s="192"/>
      <c r="L220" s="192"/>
      <c r="M220" s="192"/>
      <c r="N220" s="192"/>
      <c r="O220" s="192"/>
      <c r="P220" s="192"/>
      <c r="Q220" s="192"/>
      <c r="R220" s="192"/>
      <c r="S220" s="300"/>
      <c r="T220" s="123"/>
      <c r="U220" s="123"/>
      <c r="V220" s="123"/>
      <c r="W220" s="123"/>
      <c r="X220" s="123"/>
      <c r="Y220" s="123"/>
      <c r="Z220" s="193" t="s">
        <v>608</v>
      </c>
      <c r="AA220" s="194"/>
      <c r="AB220" s="194"/>
      <c r="AC220" s="194"/>
    </row>
    <row r="221" spans="1:29" s="114" customFormat="1" ht="23.25" customHeight="1">
      <c r="A221" s="114" t="s">
        <v>0</v>
      </c>
      <c r="C221" s="270" t="s">
        <v>375</v>
      </c>
      <c r="D221" s="752" t="s">
        <v>6</v>
      </c>
      <c r="E221" s="752"/>
      <c r="F221" s="752" t="s">
        <v>7</v>
      </c>
      <c r="G221" s="752"/>
      <c r="H221" s="752" t="s">
        <v>8</v>
      </c>
      <c r="I221" s="752"/>
      <c r="J221" s="698" t="s">
        <v>592</v>
      </c>
      <c r="K221" s="698" t="s">
        <v>593</v>
      </c>
      <c r="L221" s="698" t="s">
        <v>594</v>
      </c>
      <c r="M221" s="698"/>
      <c r="N221" s="698"/>
      <c r="O221" s="698" t="s">
        <v>14</v>
      </c>
      <c r="P221" s="698" t="s">
        <v>595</v>
      </c>
      <c r="Q221" s="698" t="s">
        <v>15</v>
      </c>
      <c r="R221" s="698" t="s">
        <v>418</v>
      </c>
      <c r="S221" s="299" t="s">
        <v>17</v>
      </c>
      <c r="T221" s="114" t="s">
        <v>419</v>
      </c>
      <c r="U221" s="114" t="s">
        <v>420</v>
      </c>
      <c r="V221" s="114" t="s">
        <v>421</v>
      </c>
      <c r="W221" s="114" t="s">
        <v>422</v>
      </c>
      <c r="X221" s="114" t="s">
        <v>423</v>
      </c>
      <c r="Z221" s="189" t="s">
        <v>596</v>
      </c>
    </row>
    <row r="222" spans="1:29" s="121" customFormat="1" ht="23.25" customHeight="1">
      <c r="A222" s="152">
        <v>44951</v>
      </c>
      <c r="B222" s="152"/>
      <c r="C222" s="700" t="s">
        <v>609</v>
      </c>
      <c r="D222" s="179">
        <v>21.75</v>
      </c>
      <c r="E222" s="179">
        <v>23.32</v>
      </c>
      <c r="F222" s="179">
        <v>21.04</v>
      </c>
      <c r="G222" s="179">
        <v>25.31</v>
      </c>
      <c r="H222" s="179">
        <v>24.15</v>
      </c>
      <c r="I222" s="179">
        <v>23.75</v>
      </c>
      <c r="J222" s="179"/>
      <c r="K222" s="179"/>
      <c r="L222" s="179"/>
      <c r="M222" s="179"/>
      <c r="N222" s="179"/>
      <c r="O222" s="179"/>
      <c r="P222" s="179"/>
      <c r="Q222" s="179"/>
      <c r="R222" s="179"/>
      <c r="S222" s="297"/>
      <c r="U222" s="121">
        <v>-0.03</v>
      </c>
      <c r="V222" s="121">
        <v>1.6E-2</v>
      </c>
      <c r="W222" s="121">
        <v>787</v>
      </c>
      <c r="X222" s="121">
        <v>571</v>
      </c>
      <c r="Z222" s="162"/>
    </row>
    <row r="223" spans="1:29" ht="20.45">
      <c r="A223" s="152">
        <v>44951</v>
      </c>
      <c r="B223" s="152"/>
      <c r="C223" s="700" t="s">
        <v>610</v>
      </c>
      <c r="D223" s="692">
        <v>21.68</v>
      </c>
      <c r="E223" s="195">
        <v>21.66</v>
      </c>
      <c r="F223" s="692">
        <v>21.53</v>
      </c>
      <c r="G223" s="692">
        <v>25.27</v>
      </c>
      <c r="H223" s="692">
        <v>24.15</v>
      </c>
      <c r="I223" s="692">
        <v>23.75</v>
      </c>
      <c r="J223" s="692"/>
      <c r="K223" s="692"/>
      <c r="L223" s="692"/>
      <c r="M223" s="692"/>
      <c r="N223" s="692"/>
      <c r="O223" s="692"/>
      <c r="P223" s="692"/>
      <c r="Q223" s="692"/>
      <c r="R223" s="692"/>
      <c r="S223" s="291">
        <v>423</v>
      </c>
      <c r="T223" s="115"/>
      <c r="U223" s="120">
        <v>-4.0000000000000002E-4</v>
      </c>
      <c r="V223" s="120">
        <v>-5.0000000000000001E-3</v>
      </c>
      <c r="W223" s="120"/>
      <c r="X223" s="120"/>
      <c r="Y223" s="120"/>
    </row>
    <row r="224" spans="1:29">
      <c r="A224" s="152">
        <v>44951</v>
      </c>
      <c r="B224" s="152"/>
      <c r="C224" s="700" t="s">
        <v>611</v>
      </c>
      <c r="D224" s="692">
        <v>21.68</v>
      </c>
      <c r="E224" s="195">
        <v>21.66</v>
      </c>
      <c r="F224" s="692">
        <v>21.53</v>
      </c>
      <c r="G224" s="692">
        <v>25.27</v>
      </c>
      <c r="H224" s="692">
        <v>24.15</v>
      </c>
      <c r="I224" s="692">
        <v>23.75</v>
      </c>
      <c r="J224" s="692"/>
      <c r="K224" s="692"/>
      <c r="L224" s="692"/>
      <c r="M224" s="692"/>
      <c r="N224" s="692"/>
      <c r="O224" s="692"/>
      <c r="P224" s="692"/>
      <c r="Q224" s="692">
        <v>9</v>
      </c>
      <c r="R224" s="692">
        <v>4.0321309999999997</v>
      </c>
      <c r="S224" s="291">
        <v>329</v>
      </c>
      <c r="T224" s="115"/>
      <c r="U224" s="115"/>
      <c r="V224" s="115"/>
      <c r="W224" s="115"/>
      <c r="X224" s="115"/>
      <c r="Y224" s="115"/>
      <c r="Z224" s="196">
        <f>R224-R215</f>
        <v>-7.0000000000014495E-5</v>
      </c>
    </row>
    <row r="225" spans="1:30">
      <c r="A225" s="152">
        <v>44951</v>
      </c>
      <c r="B225" s="152"/>
      <c r="C225" s="700" t="s">
        <v>612</v>
      </c>
      <c r="D225" s="692">
        <v>21.68</v>
      </c>
      <c r="E225" s="195">
        <v>21.66</v>
      </c>
      <c r="F225" s="692">
        <v>21.53</v>
      </c>
      <c r="G225" s="692">
        <v>25.27</v>
      </c>
      <c r="H225" s="692">
        <v>24.15</v>
      </c>
      <c r="I225" s="692">
        <v>23.75</v>
      </c>
      <c r="J225" s="692"/>
      <c r="K225" s="692"/>
      <c r="L225" s="692"/>
      <c r="M225" s="692"/>
      <c r="N225" s="692"/>
      <c r="O225" s="692"/>
      <c r="P225" s="692"/>
      <c r="Q225" s="692"/>
      <c r="R225" s="692"/>
      <c r="S225" s="291">
        <v>136</v>
      </c>
      <c r="T225" s="115"/>
      <c r="U225" s="115"/>
      <c r="V225" s="115"/>
      <c r="W225" s="120">
        <v>796.8</v>
      </c>
      <c r="X225" s="120">
        <v>599</v>
      </c>
      <c r="Y225" s="120"/>
    </row>
    <row r="226" spans="1:30" ht="20.45">
      <c r="A226" s="152">
        <v>44951</v>
      </c>
      <c r="B226" s="152"/>
      <c r="C226" s="700" t="s">
        <v>613</v>
      </c>
      <c r="D226" s="692">
        <v>21.68</v>
      </c>
      <c r="E226" s="195">
        <v>21.66</v>
      </c>
      <c r="F226" s="692">
        <v>21.53</v>
      </c>
      <c r="G226" s="692">
        <v>25.27</v>
      </c>
      <c r="H226" s="692">
        <v>24.15</v>
      </c>
      <c r="I226" s="692">
        <v>23.75</v>
      </c>
      <c r="J226" s="692"/>
      <c r="K226" s="692"/>
      <c r="L226" s="692"/>
      <c r="M226" s="692"/>
      <c r="N226" s="692"/>
      <c r="O226" s="692"/>
      <c r="P226" s="692"/>
      <c r="Q226" s="692"/>
      <c r="R226" s="692"/>
      <c r="T226" s="115"/>
      <c r="U226" s="115">
        <v>-7.0000000000000001E-3</v>
      </c>
      <c r="V226" s="115">
        <v>-0.03</v>
      </c>
      <c r="W226" s="115"/>
      <c r="X226" s="115"/>
      <c r="Y226" s="115"/>
    </row>
    <row r="227" spans="1:30" ht="40.9">
      <c r="A227" s="152">
        <v>44951</v>
      </c>
      <c r="B227" s="152"/>
      <c r="C227" s="700" t="s">
        <v>614</v>
      </c>
      <c r="D227" s="692">
        <v>21.68</v>
      </c>
      <c r="E227" s="195">
        <v>21.66</v>
      </c>
      <c r="F227" s="692">
        <v>21.53</v>
      </c>
      <c r="G227" s="692">
        <v>25.27</v>
      </c>
      <c r="H227" s="692">
        <v>24.15</v>
      </c>
      <c r="I227" s="692">
        <v>23.75</v>
      </c>
      <c r="J227" s="692">
        <v>101.5</v>
      </c>
      <c r="K227" s="692">
        <v>125.7</v>
      </c>
      <c r="L227" s="692"/>
      <c r="M227" s="692"/>
      <c r="N227" s="692"/>
      <c r="O227" s="692"/>
      <c r="P227" s="692"/>
      <c r="Q227" s="692"/>
      <c r="R227" s="692"/>
      <c r="S227" s="291">
        <v>4357</v>
      </c>
      <c r="T227" s="115"/>
      <c r="U227" s="124">
        <v>-1.1000000000000001E-3</v>
      </c>
      <c r="V227" s="124">
        <v>-1.0699999999999999E-2</v>
      </c>
      <c r="W227" s="115"/>
      <c r="X227" s="115"/>
      <c r="Y227" s="115"/>
    </row>
    <row r="228" spans="1:30">
      <c r="A228" s="152">
        <v>44951</v>
      </c>
      <c r="B228" s="152"/>
      <c r="C228" s="700" t="s">
        <v>615</v>
      </c>
      <c r="D228" s="692">
        <v>21.68</v>
      </c>
      <c r="E228" s="195">
        <v>21.66</v>
      </c>
      <c r="F228" s="692">
        <v>21.53</v>
      </c>
      <c r="G228" s="692">
        <v>25.27</v>
      </c>
      <c r="H228" s="692">
        <v>24.15</v>
      </c>
      <c r="I228" s="692">
        <v>23.75</v>
      </c>
      <c r="J228" s="692">
        <v>88.69</v>
      </c>
      <c r="K228" s="692">
        <v>108.5</v>
      </c>
      <c r="L228" s="692"/>
      <c r="M228" s="692"/>
      <c r="N228" s="692"/>
      <c r="O228" s="168">
        <v>1131</v>
      </c>
      <c r="P228" s="692"/>
      <c r="Q228" s="692"/>
      <c r="R228" s="692"/>
      <c r="S228" s="291">
        <v>5730</v>
      </c>
      <c r="T228" s="115"/>
      <c r="U228" s="115"/>
      <c r="V228" s="115"/>
      <c r="W228" s="124">
        <v>796.8</v>
      </c>
      <c r="X228" s="124">
        <v>598.6</v>
      </c>
      <c r="Y228" s="124"/>
    </row>
    <row r="229" spans="1:30">
      <c r="A229" s="152">
        <v>44951</v>
      </c>
      <c r="B229" s="152"/>
      <c r="C229" s="700" t="s">
        <v>616</v>
      </c>
      <c r="D229" s="692">
        <v>21.68</v>
      </c>
      <c r="E229" s="195">
        <v>21.66</v>
      </c>
      <c r="F229" s="692">
        <v>21.53</v>
      </c>
      <c r="G229" s="692">
        <v>25.27</v>
      </c>
      <c r="H229" s="692">
        <v>24.15</v>
      </c>
      <c r="I229" s="692">
        <v>23.75</v>
      </c>
      <c r="J229" s="692">
        <v>69.2</v>
      </c>
      <c r="K229" s="692">
        <v>102.9</v>
      </c>
      <c r="L229" s="692"/>
      <c r="M229" s="692"/>
      <c r="N229" s="692"/>
      <c r="O229" s="168">
        <v>1140</v>
      </c>
      <c r="P229" s="692"/>
      <c r="Q229" s="692"/>
      <c r="R229" s="692">
        <v>3.4595769999999999</v>
      </c>
      <c r="S229" s="291">
        <v>12238</v>
      </c>
      <c r="T229" s="115"/>
      <c r="U229" s="115"/>
      <c r="V229" s="115"/>
      <c r="W229" s="115"/>
      <c r="X229" s="115"/>
      <c r="Y229" s="115"/>
      <c r="Z229" s="182">
        <f>R229-R198</f>
        <v>3.6799999999992394E-4</v>
      </c>
    </row>
    <row r="230" spans="1:30" ht="51">
      <c r="A230" s="152">
        <v>44951</v>
      </c>
      <c r="B230" s="152"/>
      <c r="C230" s="700" t="s">
        <v>617</v>
      </c>
      <c r="D230" s="692">
        <v>21.68</v>
      </c>
      <c r="E230" s="195">
        <v>21.66</v>
      </c>
      <c r="F230" s="692">
        <v>21.53</v>
      </c>
      <c r="G230" s="692">
        <v>25.27</v>
      </c>
      <c r="H230" s="692">
        <v>24.15</v>
      </c>
      <c r="I230" s="692">
        <v>23.75</v>
      </c>
      <c r="J230" s="692"/>
      <c r="K230" s="692"/>
      <c r="L230" s="692"/>
      <c r="M230" s="692"/>
      <c r="N230" s="692"/>
      <c r="O230" s="692"/>
      <c r="P230" s="692"/>
      <c r="Q230" s="692"/>
      <c r="R230" s="692"/>
      <c r="T230" s="115"/>
      <c r="U230" s="115"/>
      <c r="V230" s="115"/>
      <c r="W230" s="115"/>
      <c r="X230" s="115"/>
      <c r="Y230" s="115"/>
    </row>
    <row r="231" spans="1:30" s="114" customFormat="1" ht="23.25" customHeight="1">
      <c r="A231" s="114" t="s">
        <v>0</v>
      </c>
      <c r="C231" s="270" t="s">
        <v>375</v>
      </c>
      <c r="D231" s="752" t="s">
        <v>6</v>
      </c>
      <c r="E231" s="752"/>
      <c r="F231" s="752" t="s">
        <v>7</v>
      </c>
      <c r="G231" s="752"/>
      <c r="H231" s="752" t="s">
        <v>8</v>
      </c>
      <c r="I231" s="752"/>
      <c r="J231" s="698" t="s">
        <v>592</v>
      </c>
      <c r="K231" s="698" t="s">
        <v>593</v>
      </c>
      <c r="L231" s="698" t="s">
        <v>594</v>
      </c>
      <c r="M231" s="698"/>
      <c r="N231" s="698"/>
      <c r="O231" s="698" t="s">
        <v>14</v>
      </c>
      <c r="P231" s="698" t="s">
        <v>595</v>
      </c>
      <c r="Q231" s="698" t="s">
        <v>15</v>
      </c>
      <c r="R231" s="698" t="s">
        <v>418</v>
      </c>
      <c r="S231" s="299" t="s">
        <v>17</v>
      </c>
      <c r="T231" s="114" t="s">
        <v>419</v>
      </c>
      <c r="U231" s="114" t="s">
        <v>420</v>
      </c>
      <c r="V231" s="114" t="s">
        <v>421</v>
      </c>
      <c r="W231" s="114" t="s">
        <v>422</v>
      </c>
      <c r="X231" s="114" t="s">
        <v>423</v>
      </c>
      <c r="Z231" s="189" t="s">
        <v>596</v>
      </c>
      <c r="AA231" s="164"/>
      <c r="AB231" s="164"/>
      <c r="AC231" s="164"/>
      <c r="AD231" s="164"/>
    </row>
    <row r="232" spans="1:30">
      <c r="A232" s="152">
        <v>44951</v>
      </c>
      <c r="B232" s="152"/>
      <c r="C232" s="700" t="s">
        <v>25</v>
      </c>
      <c r="D232" s="692">
        <v>21.68</v>
      </c>
      <c r="E232" s="195">
        <v>21.66</v>
      </c>
      <c r="F232" s="692">
        <v>21.53</v>
      </c>
      <c r="G232" s="692">
        <v>25.27</v>
      </c>
      <c r="H232" s="692">
        <v>24.15</v>
      </c>
      <c r="I232" s="692">
        <v>23.75</v>
      </c>
      <c r="J232" s="692"/>
      <c r="K232" s="692"/>
      <c r="L232" s="692"/>
      <c r="M232" s="692"/>
      <c r="N232" s="692"/>
      <c r="O232" s="197"/>
      <c r="P232" s="692"/>
      <c r="Q232" s="692"/>
      <c r="R232" s="692"/>
      <c r="S232" s="301">
        <v>63026</v>
      </c>
      <c r="T232" s="115"/>
      <c r="U232" s="125">
        <v>1.2999999999999999E-3</v>
      </c>
      <c r="V232" s="125">
        <v>-3.3999999999999998E-3</v>
      </c>
      <c r="W232" s="115"/>
      <c r="X232" s="115"/>
      <c r="Y232" s="115"/>
    </row>
    <row r="233" spans="1:30">
      <c r="A233" s="152">
        <v>44951</v>
      </c>
      <c r="B233" s="152"/>
      <c r="C233" s="700" t="s">
        <v>25</v>
      </c>
      <c r="D233" s="692">
        <v>21.68</v>
      </c>
      <c r="E233" s="195">
        <v>21.66</v>
      </c>
      <c r="F233" s="692">
        <v>21.53</v>
      </c>
      <c r="G233" s="692">
        <v>25.27</v>
      </c>
      <c r="H233" s="692">
        <v>24.15</v>
      </c>
      <c r="I233" s="692">
        <v>23.75</v>
      </c>
      <c r="J233" s="692"/>
      <c r="K233" s="692"/>
      <c r="L233" s="692"/>
      <c r="M233" s="692"/>
      <c r="N233" s="692"/>
      <c r="O233" s="197"/>
      <c r="P233" s="692"/>
      <c r="Q233" s="692"/>
      <c r="R233" s="692"/>
      <c r="S233" s="301">
        <v>63419</v>
      </c>
      <c r="T233" s="115"/>
      <c r="U233" s="115"/>
      <c r="V233" s="115"/>
      <c r="W233" s="120">
        <v>798.7</v>
      </c>
      <c r="X233" s="120">
        <v>599.70000000000005</v>
      </c>
      <c r="Y233" s="120"/>
    </row>
    <row r="234" spans="1:30">
      <c r="A234" s="152">
        <v>44951</v>
      </c>
      <c r="B234" s="152"/>
      <c r="C234" s="700" t="s">
        <v>599</v>
      </c>
      <c r="D234" s="692">
        <v>21.68</v>
      </c>
      <c r="E234" s="195">
        <v>21.66</v>
      </c>
      <c r="F234" s="692">
        <v>21.53</v>
      </c>
      <c r="G234" s="692">
        <v>25.27</v>
      </c>
      <c r="H234" s="692">
        <v>24.15</v>
      </c>
      <c r="I234" s="692">
        <v>23.75</v>
      </c>
      <c r="J234" s="692"/>
      <c r="K234" s="692"/>
      <c r="L234" s="692"/>
      <c r="M234" s="692"/>
      <c r="N234" s="692"/>
      <c r="O234" s="197"/>
      <c r="P234" s="692"/>
      <c r="Q234" s="692">
        <v>9</v>
      </c>
      <c r="R234" s="197">
        <v>4.0321629999999997</v>
      </c>
      <c r="S234" s="301">
        <v>63723</v>
      </c>
      <c r="T234" s="115"/>
      <c r="U234" s="115"/>
      <c r="V234" s="115"/>
      <c r="W234" s="125">
        <v>154</v>
      </c>
      <c r="X234" s="125">
        <v>1044</v>
      </c>
      <c r="Y234" s="125"/>
    </row>
    <row r="235" spans="1:30" ht="20.45">
      <c r="A235" s="152">
        <v>44951</v>
      </c>
      <c r="B235" s="152"/>
      <c r="C235" s="700" t="s">
        <v>618</v>
      </c>
      <c r="D235" s="692">
        <v>21.68</v>
      </c>
      <c r="E235" s="195">
        <v>21.66</v>
      </c>
      <c r="F235" s="692">
        <v>21.53</v>
      </c>
      <c r="G235" s="692">
        <v>25.27</v>
      </c>
      <c r="H235" s="692">
        <v>24.15</v>
      </c>
      <c r="I235" s="692">
        <v>23.75</v>
      </c>
      <c r="J235" s="198">
        <v>101.5</v>
      </c>
      <c r="K235" s="198">
        <v>125.7</v>
      </c>
      <c r="L235" s="692"/>
      <c r="M235" s="692"/>
      <c r="N235" s="692"/>
      <c r="O235" s="197" t="s">
        <v>70</v>
      </c>
      <c r="P235" s="692"/>
      <c r="Q235" s="692"/>
      <c r="R235" s="692"/>
      <c r="S235" s="302"/>
      <c r="T235" s="115"/>
      <c r="U235" s="125">
        <v>-1.1000000000000001E-3</v>
      </c>
      <c r="V235" s="125">
        <v>-0.01</v>
      </c>
      <c r="W235" s="115"/>
      <c r="X235" s="115"/>
      <c r="Y235" s="115"/>
    </row>
    <row r="236" spans="1:30" ht="30.6">
      <c r="A236" s="152">
        <v>44951</v>
      </c>
      <c r="B236" s="152"/>
      <c r="C236" s="700" t="s">
        <v>619</v>
      </c>
      <c r="D236" s="692">
        <v>21.68</v>
      </c>
      <c r="E236" s="195">
        <v>21.66</v>
      </c>
      <c r="F236" s="692">
        <v>21.53</v>
      </c>
      <c r="G236" s="692">
        <v>25.27</v>
      </c>
      <c r="H236" s="692">
        <v>24.15</v>
      </c>
      <c r="I236" s="692">
        <v>23.75</v>
      </c>
      <c r="J236" s="198">
        <v>88.69</v>
      </c>
      <c r="K236" s="198">
        <v>108.4</v>
      </c>
      <c r="L236" s="692"/>
      <c r="M236" s="692"/>
      <c r="N236" s="692"/>
      <c r="O236" s="199">
        <v>1125</v>
      </c>
      <c r="P236" s="692"/>
      <c r="Q236" s="692"/>
      <c r="R236" s="692"/>
      <c r="T236" s="115"/>
      <c r="U236" s="115"/>
      <c r="V236" s="115"/>
      <c r="W236" s="125">
        <v>797.7</v>
      </c>
      <c r="X236" s="125">
        <v>600</v>
      </c>
      <c r="Y236" s="125"/>
    </row>
    <row r="237" spans="1:30" ht="20.45">
      <c r="A237" s="152">
        <v>44951</v>
      </c>
      <c r="B237" s="152"/>
      <c r="C237" s="700" t="s">
        <v>620</v>
      </c>
      <c r="D237" s="692">
        <v>21.68</v>
      </c>
      <c r="E237" s="195">
        <v>21.66</v>
      </c>
      <c r="F237" s="692">
        <v>21.53</v>
      </c>
      <c r="G237" s="692">
        <v>25.27</v>
      </c>
      <c r="H237" s="692">
        <v>24.15</v>
      </c>
      <c r="I237" s="692">
        <v>23.75</v>
      </c>
      <c r="J237" s="198">
        <v>69.2</v>
      </c>
      <c r="K237" s="198">
        <v>102.9</v>
      </c>
      <c r="L237" s="692"/>
      <c r="M237" s="692"/>
      <c r="N237" s="692"/>
      <c r="O237" s="197"/>
      <c r="P237" s="692"/>
      <c r="Q237" s="692">
        <v>17</v>
      </c>
      <c r="R237" s="197">
        <v>3.4595750000000001</v>
      </c>
      <c r="S237" s="301">
        <v>72009</v>
      </c>
      <c r="T237" s="115"/>
      <c r="U237" s="115"/>
      <c r="V237" s="115"/>
      <c r="W237" s="125">
        <v>219</v>
      </c>
      <c r="X237" s="125">
        <v>932</v>
      </c>
      <c r="Y237" s="125"/>
    </row>
    <row r="238" spans="1:30">
      <c r="A238" s="126" t="s">
        <v>0</v>
      </c>
      <c r="B238" s="126"/>
      <c r="C238" s="272" t="s">
        <v>375</v>
      </c>
      <c r="D238" s="750" t="s">
        <v>6</v>
      </c>
      <c r="E238" s="750"/>
      <c r="F238" s="750" t="s">
        <v>7</v>
      </c>
      <c r="G238" s="750"/>
      <c r="H238" s="750" t="s">
        <v>8</v>
      </c>
      <c r="I238" s="750"/>
      <c r="J238" s="696" t="s">
        <v>592</v>
      </c>
      <c r="K238" s="696" t="s">
        <v>593</v>
      </c>
      <c r="L238" s="696" t="s">
        <v>594</v>
      </c>
      <c r="M238" s="696"/>
      <c r="N238" s="696"/>
      <c r="O238" s="696" t="s">
        <v>14</v>
      </c>
      <c r="P238" s="696" t="s">
        <v>595</v>
      </c>
      <c r="Q238" s="696" t="s">
        <v>15</v>
      </c>
      <c r="R238" s="696" t="s">
        <v>418</v>
      </c>
      <c r="S238" s="303" t="s">
        <v>17</v>
      </c>
      <c r="T238" s="126" t="s">
        <v>419</v>
      </c>
      <c r="U238" s="126" t="s">
        <v>420</v>
      </c>
      <c r="V238" s="126" t="s">
        <v>421</v>
      </c>
      <c r="W238" s="126" t="s">
        <v>422</v>
      </c>
      <c r="X238" s="126" t="s">
        <v>423</v>
      </c>
      <c r="Y238" s="126"/>
    </row>
    <row r="239" spans="1:30">
      <c r="A239" s="152">
        <v>44952</v>
      </c>
      <c r="B239" s="152"/>
      <c r="C239" s="700" t="s">
        <v>25</v>
      </c>
      <c r="D239" s="692">
        <v>21.68</v>
      </c>
      <c r="E239" s="195">
        <v>21.66</v>
      </c>
      <c r="F239" s="692">
        <v>21.53</v>
      </c>
      <c r="G239" s="692">
        <v>25.27</v>
      </c>
      <c r="H239" s="692">
        <v>24.15</v>
      </c>
      <c r="I239" s="692">
        <v>23.75</v>
      </c>
      <c r="J239" s="692"/>
      <c r="K239" s="692"/>
      <c r="L239" s="692"/>
      <c r="M239" s="692"/>
      <c r="N239" s="692"/>
      <c r="O239" s="197" t="s">
        <v>51</v>
      </c>
      <c r="P239" s="692"/>
      <c r="Q239" s="692"/>
      <c r="R239" s="692"/>
      <c r="S239" s="301">
        <v>54513</v>
      </c>
      <c r="T239" s="115"/>
      <c r="U239" s="125">
        <v>2.3999999999999998E-3</v>
      </c>
      <c r="V239" s="125">
        <v>-4.1000000000000003E-3</v>
      </c>
      <c r="W239" s="115"/>
      <c r="X239" s="115"/>
      <c r="Y239" s="115"/>
    </row>
    <row r="240" spans="1:30">
      <c r="A240" s="152">
        <v>44952</v>
      </c>
      <c r="B240" s="152"/>
      <c r="C240" s="700" t="s">
        <v>25</v>
      </c>
      <c r="D240" s="692">
        <v>21.68</v>
      </c>
      <c r="E240" s="195">
        <v>21.66</v>
      </c>
      <c r="F240" s="692">
        <v>21.53</v>
      </c>
      <c r="G240" s="692">
        <v>25.27</v>
      </c>
      <c r="H240" s="692">
        <v>24.15</v>
      </c>
      <c r="I240" s="692">
        <v>23.75</v>
      </c>
      <c r="J240" s="692"/>
      <c r="K240" s="692"/>
      <c r="L240" s="692"/>
      <c r="M240" s="692"/>
      <c r="N240" s="692"/>
      <c r="O240" s="197" t="s">
        <v>82</v>
      </c>
      <c r="P240" s="692"/>
      <c r="Q240" s="692"/>
      <c r="R240" s="692"/>
      <c r="S240" s="301">
        <v>55109</v>
      </c>
      <c r="T240" s="115"/>
      <c r="U240" s="115"/>
      <c r="V240" s="115"/>
      <c r="W240" s="120">
        <v>797.6</v>
      </c>
      <c r="X240" s="120">
        <v>600.4</v>
      </c>
      <c r="Y240" s="120"/>
    </row>
    <row r="241" spans="1:27">
      <c r="A241" s="152">
        <v>44952</v>
      </c>
      <c r="B241" s="152"/>
      <c r="C241" s="700" t="s">
        <v>599</v>
      </c>
      <c r="D241" s="692">
        <v>21.68</v>
      </c>
      <c r="E241" s="195">
        <v>21.66</v>
      </c>
      <c r="F241" s="692">
        <v>21.53</v>
      </c>
      <c r="G241" s="692">
        <v>25.27</v>
      </c>
      <c r="H241" s="692">
        <v>24.15</v>
      </c>
      <c r="I241" s="692">
        <v>23.75</v>
      </c>
      <c r="J241" s="692"/>
      <c r="K241" s="692"/>
      <c r="L241" s="692"/>
      <c r="M241" s="692"/>
      <c r="N241" s="692"/>
      <c r="O241" s="197" t="s">
        <v>67</v>
      </c>
      <c r="P241" s="692"/>
      <c r="Q241" s="692">
        <v>8</v>
      </c>
      <c r="R241" s="197">
        <v>4.0322170000000002</v>
      </c>
      <c r="S241" s="301">
        <v>55504</v>
      </c>
      <c r="T241" s="115"/>
      <c r="U241" s="115"/>
      <c r="V241" s="115"/>
      <c r="W241" s="125">
        <v>150.5</v>
      </c>
      <c r="X241" s="125">
        <v>1046.5</v>
      </c>
      <c r="Y241" s="125"/>
    </row>
    <row r="242" spans="1:27" ht="20.45">
      <c r="A242" s="152">
        <v>44952</v>
      </c>
      <c r="B242" s="152"/>
      <c r="C242" s="700" t="s">
        <v>618</v>
      </c>
      <c r="D242" s="692">
        <v>21.68</v>
      </c>
      <c r="E242" s="195">
        <v>21.66</v>
      </c>
      <c r="F242" s="692">
        <v>21.53</v>
      </c>
      <c r="G242" s="692">
        <v>25.27</v>
      </c>
      <c r="H242" s="692">
        <v>24.15</v>
      </c>
      <c r="I242" s="692">
        <v>23.75</v>
      </c>
      <c r="J242" s="198">
        <v>101.503</v>
      </c>
      <c r="K242" s="198">
        <v>125.705</v>
      </c>
      <c r="L242" s="692"/>
      <c r="M242" s="692"/>
      <c r="N242" s="692"/>
      <c r="O242" s="197" t="s">
        <v>51</v>
      </c>
      <c r="P242" s="692"/>
      <c r="Q242" s="692"/>
      <c r="R242" s="692"/>
      <c r="S242" s="302">
        <v>61046</v>
      </c>
      <c r="T242" s="115"/>
      <c r="U242" s="125">
        <v>-1E-4</v>
      </c>
      <c r="V242" s="125">
        <v>-1.0699999999999999E-2</v>
      </c>
      <c r="W242" s="115"/>
      <c r="X242" s="115"/>
      <c r="Y242" s="115"/>
      <c r="AA242" s="164" t="s">
        <v>621</v>
      </c>
    </row>
    <row r="243" spans="1:27">
      <c r="A243" s="152">
        <v>44952</v>
      </c>
      <c r="B243" s="152"/>
      <c r="C243" s="700" t="s">
        <v>615</v>
      </c>
      <c r="D243" s="692">
        <v>21.68</v>
      </c>
      <c r="E243" s="195">
        <v>21.66</v>
      </c>
      <c r="F243" s="692">
        <v>21.53</v>
      </c>
      <c r="G243" s="692">
        <v>25.27</v>
      </c>
      <c r="H243" s="692">
        <v>24.15</v>
      </c>
      <c r="I243" s="692">
        <v>23.75</v>
      </c>
      <c r="J243" s="198">
        <v>88.694999999999993</v>
      </c>
      <c r="K243" s="198">
        <v>108.398</v>
      </c>
      <c r="L243" s="692"/>
      <c r="M243" s="692"/>
      <c r="N243" s="692"/>
      <c r="O243" s="199">
        <v>1131</v>
      </c>
      <c r="P243" s="692"/>
      <c r="Q243" s="692"/>
      <c r="R243" s="692"/>
      <c r="S243" s="302">
        <v>62610</v>
      </c>
      <c r="T243" s="115"/>
      <c r="U243" s="115"/>
      <c r="V243" s="115"/>
      <c r="W243" s="125">
        <v>797.45</v>
      </c>
      <c r="X243" s="125">
        <v>599.70000000000005</v>
      </c>
      <c r="Y243" s="125"/>
    </row>
    <row r="244" spans="1:27">
      <c r="A244" s="152">
        <v>44952</v>
      </c>
      <c r="B244" s="152"/>
      <c r="C244" s="700" t="s">
        <v>616</v>
      </c>
      <c r="D244" s="692">
        <v>21.68</v>
      </c>
      <c r="E244" s="195">
        <v>21.66</v>
      </c>
      <c r="F244" s="692">
        <v>21.53</v>
      </c>
      <c r="G244" s="692">
        <v>25.27</v>
      </c>
      <c r="H244" s="692">
        <v>24.15</v>
      </c>
      <c r="I244" s="692">
        <v>23.75</v>
      </c>
      <c r="J244" s="198">
        <v>69.2</v>
      </c>
      <c r="K244" s="198">
        <v>102.898</v>
      </c>
      <c r="L244" s="692"/>
      <c r="M244" s="692"/>
      <c r="N244" s="692"/>
      <c r="O244" s="199">
        <v>1138</v>
      </c>
      <c r="P244" s="692"/>
      <c r="Q244" s="692">
        <v>23</v>
      </c>
      <c r="R244" s="197">
        <v>3.459613</v>
      </c>
      <c r="S244" s="301">
        <v>63001</v>
      </c>
      <c r="T244" s="115"/>
      <c r="U244" s="115"/>
      <c r="V244" s="115"/>
      <c r="W244" s="125">
        <v>220</v>
      </c>
      <c r="X244" s="125">
        <v>933</v>
      </c>
      <c r="Y244" s="125"/>
    </row>
    <row r="245" spans="1:27" ht="20.45">
      <c r="A245" s="152">
        <v>44952</v>
      </c>
      <c r="B245" s="152"/>
      <c r="C245" s="700" t="s">
        <v>622</v>
      </c>
      <c r="D245" s="692">
        <v>21.68</v>
      </c>
      <c r="E245" s="195">
        <v>21.66</v>
      </c>
      <c r="F245" s="692">
        <v>21.53</v>
      </c>
      <c r="G245" s="692">
        <v>25.27</v>
      </c>
      <c r="H245" s="692">
        <v>24.15</v>
      </c>
      <c r="I245" s="692">
        <v>23.75</v>
      </c>
      <c r="J245" s="692"/>
      <c r="K245" s="692"/>
      <c r="L245" s="692"/>
      <c r="M245" s="692"/>
      <c r="N245" s="692"/>
      <c r="O245" s="197" t="s">
        <v>60</v>
      </c>
      <c r="P245" s="692"/>
      <c r="Q245" s="692"/>
      <c r="R245" s="692"/>
      <c r="S245" s="301">
        <v>64738</v>
      </c>
      <c r="T245" s="115"/>
      <c r="U245" s="125">
        <v>2.7000000000000001E-3</v>
      </c>
      <c r="V245" s="125">
        <v>-6.4999999999999997E-3</v>
      </c>
      <c r="W245" s="115"/>
      <c r="X245" s="115"/>
      <c r="Y245" s="115"/>
    </row>
    <row r="246" spans="1:27" ht="20.45">
      <c r="A246" s="152">
        <v>44952</v>
      </c>
      <c r="B246" s="152"/>
      <c r="C246" s="700" t="s">
        <v>622</v>
      </c>
      <c r="D246" s="692">
        <v>21.68</v>
      </c>
      <c r="E246" s="195">
        <v>21.66</v>
      </c>
      <c r="F246" s="692">
        <v>21.53</v>
      </c>
      <c r="G246" s="692">
        <v>25.27</v>
      </c>
      <c r="H246" s="692">
        <v>24.15</v>
      </c>
      <c r="I246" s="692">
        <v>23.75</v>
      </c>
      <c r="J246" s="692"/>
      <c r="K246" s="692"/>
      <c r="L246" s="692"/>
      <c r="M246" s="692"/>
      <c r="N246" s="692"/>
      <c r="O246" s="197" t="s">
        <v>82</v>
      </c>
      <c r="P246" s="692"/>
      <c r="Q246" s="692"/>
      <c r="R246" s="692"/>
      <c r="S246" s="301">
        <v>65016</v>
      </c>
      <c r="T246" s="115"/>
      <c r="U246" s="115"/>
      <c r="V246" s="115"/>
      <c r="W246" s="120">
        <v>795.6</v>
      </c>
      <c r="X246" s="120">
        <v>600.70000000000005</v>
      </c>
      <c r="Y246" s="120"/>
      <c r="AA246" s="164" t="s">
        <v>623</v>
      </c>
    </row>
    <row r="247" spans="1:27" ht="20.45">
      <c r="A247" s="152">
        <v>44952</v>
      </c>
      <c r="B247" s="152"/>
      <c r="C247" s="700" t="s">
        <v>624</v>
      </c>
      <c r="D247" s="692">
        <v>21.68</v>
      </c>
      <c r="E247" s="195">
        <v>21.66</v>
      </c>
      <c r="F247" s="692">
        <v>21.53</v>
      </c>
      <c r="G247" s="692">
        <v>25.27</v>
      </c>
      <c r="H247" s="692">
        <v>24.15</v>
      </c>
      <c r="I247" s="692">
        <v>23.75</v>
      </c>
      <c r="J247" s="692"/>
      <c r="K247" s="692"/>
      <c r="L247" s="692"/>
      <c r="M247" s="692"/>
      <c r="N247" s="692"/>
      <c r="O247" s="197" t="s">
        <v>323</v>
      </c>
      <c r="P247" s="692"/>
      <c r="Q247" s="692"/>
      <c r="R247" s="197">
        <v>4.032216</v>
      </c>
      <c r="S247" s="301">
        <v>65237</v>
      </c>
      <c r="T247" s="115"/>
      <c r="U247" s="115"/>
      <c r="V247" s="115"/>
      <c r="W247" s="125">
        <v>150</v>
      </c>
      <c r="X247" s="125">
        <v>1048</v>
      </c>
      <c r="Y247" s="125"/>
    </row>
    <row r="248" spans="1:27">
      <c r="A248" s="126" t="s">
        <v>0</v>
      </c>
      <c r="B248" s="126"/>
      <c r="C248" s="272" t="s">
        <v>375</v>
      </c>
      <c r="D248" s="750" t="s">
        <v>6</v>
      </c>
      <c r="E248" s="750"/>
      <c r="F248" s="750" t="s">
        <v>7</v>
      </c>
      <c r="G248" s="750"/>
      <c r="H248" s="750" t="s">
        <v>8</v>
      </c>
      <c r="I248" s="750"/>
      <c r="J248" s="696" t="s">
        <v>592</v>
      </c>
      <c r="K248" s="696" t="s">
        <v>593</v>
      </c>
      <c r="L248" s="696" t="s">
        <v>594</v>
      </c>
      <c r="M248" s="696"/>
      <c r="N248" s="696"/>
      <c r="O248" s="696" t="s">
        <v>14</v>
      </c>
      <c r="P248" s="696" t="s">
        <v>595</v>
      </c>
      <c r="Q248" s="696" t="s">
        <v>15</v>
      </c>
      <c r="R248" s="696" t="s">
        <v>418</v>
      </c>
      <c r="S248" s="303" t="s">
        <v>17</v>
      </c>
      <c r="T248" s="126" t="s">
        <v>419</v>
      </c>
      <c r="U248" s="126" t="s">
        <v>420</v>
      </c>
      <c r="V248" s="126" t="s">
        <v>421</v>
      </c>
      <c r="W248" s="126" t="s">
        <v>422</v>
      </c>
      <c r="X248" s="126" t="s">
        <v>423</v>
      </c>
      <c r="Y248" s="126"/>
    </row>
    <row r="249" spans="1:27" ht="20.45">
      <c r="A249" s="152">
        <v>44956</v>
      </c>
      <c r="B249" s="152"/>
      <c r="C249" s="700" t="s">
        <v>625</v>
      </c>
      <c r="D249" s="692">
        <v>21.68</v>
      </c>
      <c r="E249" s="195">
        <v>21.66</v>
      </c>
      <c r="F249" s="692">
        <v>21.53</v>
      </c>
      <c r="G249" s="692">
        <v>25.27</v>
      </c>
      <c r="H249" s="692">
        <v>24.15</v>
      </c>
      <c r="I249" s="692">
        <v>23.75</v>
      </c>
      <c r="J249" s="692"/>
      <c r="K249" s="692"/>
      <c r="L249" s="692"/>
      <c r="M249" s="692"/>
      <c r="N249" s="692"/>
      <c r="O249" s="197" t="s">
        <v>626</v>
      </c>
      <c r="P249" s="692"/>
      <c r="Q249" s="692"/>
      <c r="R249" s="692"/>
      <c r="S249" s="301">
        <v>91359</v>
      </c>
      <c r="T249" s="115"/>
      <c r="U249" s="120">
        <v>3.7000000000000002E-3</v>
      </c>
      <c r="V249" s="120">
        <v>-5.7999999999999996E-3</v>
      </c>
      <c r="W249" s="115"/>
      <c r="X249" s="115"/>
      <c r="Y249" s="115"/>
    </row>
    <row r="250" spans="1:27">
      <c r="A250" s="152">
        <v>44956</v>
      </c>
      <c r="B250" s="152"/>
      <c r="C250" s="700" t="s">
        <v>627</v>
      </c>
      <c r="D250" s="692"/>
      <c r="E250" s="195"/>
      <c r="F250" s="692"/>
      <c r="G250" s="692"/>
      <c r="H250" s="692"/>
      <c r="I250" s="692"/>
      <c r="J250" s="692"/>
      <c r="K250" s="692"/>
      <c r="L250" s="692"/>
      <c r="M250" s="692"/>
      <c r="N250" s="692"/>
      <c r="O250" s="197" t="s">
        <v>82</v>
      </c>
      <c r="P250" s="692"/>
      <c r="Q250" s="692"/>
      <c r="R250" s="692"/>
      <c r="S250" s="301">
        <v>91634</v>
      </c>
      <c r="T250" s="115"/>
      <c r="U250" s="115"/>
      <c r="V250" s="115"/>
      <c r="W250" s="120">
        <v>795.7</v>
      </c>
      <c r="X250" s="120">
        <v>601</v>
      </c>
      <c r="Y250" s="120"/>
    </row>
    <row r="251" spans="1:27">
      <c r="A251" s="152">
        <v>44956</v>
      </c>
      <c r="B251" s="152"/>
      <c r="C251" s="700" t="s">
        <v>599</v>
      </c>
      <c r="D251" s="692"/>
      <c r="E251" s="195"/>
      <c r="F251" s="692"/>
      <c r="G251" s="692"/>
      <c r="H251" s="692"/>
      <c r="I251" s="692"/>
      <c r="J251" s="692"/>
      <c r="K251" s="692"/>
      <c r="L251" s="692"/>
      <c r="M251" s="692"/>
      <c r="N251" s="692"/>
      <c r="O251" s="197" t="s">
        <v>326</v>
      </c>
      <c r="P251" s="692"/>
      <c r="Q251" s="692">
        <v>10</v>
      </c>
      <c r="R251" s="197">
        <v>4.0321280000000002</v>
      </c>
      <c r="S251" s="301">
        <v>91852</v>
      </c>
      <c r="T251" s="115"/>
      <c r="U251" s="115"/>
      <c r="V251" s="115"/>
      <c r="W251" s="125">
        <v>150</v>
      </c>
      <c r="X251" s="125">
        <v>1047</v>
      </c>
      <c r="Y251" s="125"/>
      <c r="Z251" s="163">
        <f>R251-R241</f>
        <v>-8.9000000000005741E-5</v>
      </c>
    </row>
    <row r="252" spans="1:27" ht="20.45">
      <c r="A252" s="152">
        <v>44956</v>
      </c>
      <c r="B252" s="152"/>
      <c r="C252" s="700" t="s">
        <v>618</v>
      </c>
      <c r="D252" s="692">
        <v>21.68</v>
      </c>
      <c r="E252" s="195">
        <v>21.66</v>
      </c>
      <c r="F252" s="692">
        <v>21.53</v>
      </c>
      <c r="G252" s="692">
        <v>25.27</v>
      </c>
      <c r="H252" s="692">
        <v>24.15</v>
      </c>
      <c r="I252" s="692">
        <v>23.75</v>
      </c>
      <c r="J252" s="198">
        <v>101.503</v>
      </c>
      <c r="K252" s="198">
        <v>125.705</v>
      </c>
      <c r="L252" s="692"/>
      <c r="M252" s="692"/>
      <c r="N252" s="692"/>
      <c r="O252" s="197" t="s">
        <v>51</v>
      </c>
      <c r="P252" s="692"/>
      <c r="Q252" s="692"/>
      <c r="R252" s="692"/>
      <c r="S252" s="302">
        <v>3943</v>
      </c>
      <c r="T252" s="115"/>
      <c r="U252" s="125">
        <v>-1E-4</v>
      </c>
      <c r="V252" s="125">
        <v>-1.04E-2</v>
      </c>
      <c r="W252" s="115"/>
      <c r="X252" s="115"/>
      <c r="Y252" s="115"/>
    </row>
    <row r="253" spans="1:27">
      <c r="A253" s="152">
        <v>44956</v>
      </c>
      <c r="B253" s="152"/>
      <c r="C253" s="700" t="s">
        <v>615</v>
      </c>
      <c r="D253" s="692">
        <v>21.68</v>
      </c>
      <c r="E253" s="195">
        <v>21.66</v>
      </c>
      <c r="F253" s="692">
        <v>21.53</v>
      </c>
      <c r="G253" s="692">
        <v>25.27</v>
      </c>
      <c r="H253" s="692">
        <v>24.15</v>
      </c>
      <c r="I253" s="692">
        <v>23.75</v>
      </c>
      <c r="J253" s="198">
        <v>88.594999999999999</v>
      </c>
      <c r="K253" s="198">
        <v>108.4</v>
      </c>
      <c r="L253" s="692"/>
      <c r="M253" s="692"/>
      <c r="N253" s="692"/>
      <c r="O253" s="199">
        <v>1131</v>
      </c>
      <c r="P253" s="692"/>
      <c r="Q253" s="692"/>
      <c r="R253" s="692"/>
      <c r="S253" s="302">
        <v>4503</v>
      </c>
      <c r="T253" s="115"/>
      <c r="U253" s="115"/>
      <c r="V253" s="115"/>
      <c r="W253" s="125">
        <v>795.7</v>
      </c>
      <c r="X253" s="125">
        <v>601.1</v>
      </c>
      <c r="Y253" s="125"/>
    </row>
    <row r="254" spans="1:27">
      <c r="A254" s="152">
        <v>44956</v>
      </c>
      <c r="B254" s="152"/>
      <c r="C254" s="700" t="s">
        <v>616</v>
      </c>
      <c r="D254" s="692">
        <v>21.68</v>
      </c>
      <c r="E254" s="195">
        <v>21.66</v>
      </c>
      <c r="F254" s="692">
        <v>21.53</v>
      </c>
      <c r="G254" s="692">
        <v>25.27</v>
      </c>
      <c r="H254" s="692">
        <v>24.15</v>
      </c>
      <c r="I254" s="692">
        <v>23.75</v>
      </c>
      <c r="J254" s="198">
        <v>69.2</v>
      </c>
      <c r="K254" s="198">
        <v>102.9</v>
      </c>
      <c r="L254" s="692"/>
      <c r="M254" s="692"/>
      <c r="N254" s="692"/>
      <c r="O254" s="199">
        <v>1138</v>
      </c>
      <c r="P254" s="692"/>
      <c r="Q254" s="692">
        <v>17</v>
      </c>
      <c r="R254" s="197">
        <v>3.459581</v>
      </c>
      <c r="S254" s="301">
        <v>5015</v>
      </c>
      <c r="T254" s="115"/>
      <c r="U254" s="115"/>
      <c r="V254" s="115"/>
      <c r="W254" s="125">
        <v>220</v>
      </c>
      <c r="X254" s="125">
        <v>931</v>
      </c>
      <c r="Y254" s="125"/>
      <c r="Z254" s="163">
        <f>R254-R244</f>
        <v>-3.2000000000032003E-5</v>
      </c>
    </row>
    <row r="255" spans="1:27" ht="20.45">
      <c r="A255" s="152">
        <v>44956</v>
      </c>
      <c r="B255" s="152"/>
      <c r="C255" s="700" t="s">
        <v>622</v>
      </c>
      <c r="D255" s="692">
        <v>21.68</v>
      </c>
      <c r="E255" s="195">
        <v>21.66</v>
      </c>
      <c r="F255" s="692">
        <v>21.53</v>
      </c>
      <c r="G255" s="692">
        <v>25.27</v>
      </c>
      <c r="H255" s="692">
        <v>24.15</v>
      </c>
      <c r="I255" s="692">
        <v>23.75</v>
      </c>
      <c r="J255" s="692"/>
      <c r="K255" s="692"/>
      <c r="L255" s="692"/>
      <c r="M255" s="692"/>
      <c r="N255" s="692"/>
      <c r="O255" s="197" t="s">
        <v>60</v>
      </c>
      <c r="P255" s="692"/>
      <c r="Q255" s="692"/>
      <c r="R255" s="692"/>
      <c r="S255" s="301">
        <v>10130</v>
      </c>
      <c r="T255" s="115"/>
      <c r="U255" s="125">
        <v>2.3999999999999998E-3</v>
      </c>
      <c r="V255" s="125">
        <v>-6.4999999999999997E-3</v>
      </c>
      <c r="W255" s="115"/>
      <c r="X255" s="115"/>
      <c r="Y255" s="115"/>
    </row>
    <row r="256" spans="1:27" ht="20.45">
      <c r="A256" s="152">
        <v>44956</v>
      </c>
      <c r="B256" s="152"/>
      <c r="C256" s="700" t="s">
        <v>622</v>
      </c>
      <c r="D256" s="692">
        <v>21.68</v>
      </c>
      <c r="E256" s="195">
        <v>21.66</v>
      </c>
      <c r="F256" s="692">
        <v>21.53</v>
      </c>
      <c r="G256" s="692">
        <v>25.27</v>
      </c>
      <c r="H256" s="692">
        <v>24.15</v>
      </c>
      <c r="I256" s="692">
        <v>23.75</v>
      </c>
      <c r="J256" s="692"/>
      <c r="K256" s="692"/>
      <c r="L256" s="692"/>
      <c r="M256" s="692"/>
      <c r="N256" s="692"/>
      <c r="O256" s="197" t="s">
        <v>82</v>
      </c>
      <c r="P256" s="692"/>
      <c r="Q256" s="692"/>
      <c r="R256" s="692"/>
      <c r="S256" s="301">
        <v>10258</v>
      </c>
      <c r="T256" s="115"/>
      <c r="U256" s="125"/>
      <c r="V256" s="125"/>
      <c r="W256" s="125">
        <v>795.6</v>
      </c>
      <c r="X256" s="125">
        <v>600.70000000000005</v>
      </c>
      <c r="Y256" s="125"/>
    </row>
    <row r="257" spans="1:27" ht="20.45">
      <c r="A257" s="152">
        <v>44956</v>
      </c>
      <c r="B257" s="152"/>
      <c r="C257" s="700" t="s">
        <v>624</v>
      </c>
      <c r="D257" s="692">
        <v>21.68</v>
      </c>
      <c r="E257" s="195">
        <v>21.66</v>
      </c>
      <c r="F257" s="692">
        <v>21.53</v>
      </c>
      <c r="G257" s="692">
        <v>25.27</v>
      </c>
      <c r="H257" s="692">
        <v>24.15</v>
      </c>
      <c r="I257" s="692">
        <v>23.75</v>
      </c>
      <c r="J257" s="692"/>
      <c r="K257" s="692"/>
      <c r="L257" s="692"/>
      <c r="M257" s="692"/>
      <c r="N257" s="692"/>
      <c r="O257" s="197" t="s">
        <v>323</v>
      </c>
      <c r="P257" s="692"/>
      <c r="Q257" s="692">
        <v>7</v>
      </c>
      <c r="R257" s="197">
        <v>4.0321800000000003</v>
      </c>
      <c r="S257" s="301">
        <v>10448</v>
      </c>
      <c r="T257" s="115"/>
      <c r="U257" s="115"/>
      <c r="V257" s="115"/>
      <c r="W257" s="125">
        <v>148</v>
      </c>
      <c r="X257" s="125">
        <v>1046</v>
      </c>
      <c r="Y257" s="125"/>
      <c r="Z257" s="163">
        <f>R257-R251</f>
        <v>5.2000000000163027E-5</v>
      </c>
    </row>
    <row r="258" spans="1:27">
      <c r="A258" s="126" t="s">
        <v>0</v>
      </c>
      <c r="B258" s="126"/>
      <c r="C258" s="272" t="s">
        <v>375</v>
      </c>
      <c r="D258" s="750" t="s">
        <v>6</v>
      </c>
      <c r="E258" s="750"/>
      <c r="F258" s="750" t="s">
        <v>7</v>
      </c>
      <c r="G258" s="750"/>
      <c r="H258" s="750" t="s">
        <v>8</v>
      </c>
      <c r="I258" s="750"/>
      <c r="J258" s="696" t="s">
        <v>592</v>
      </c>
      <c r="K258" s="696" t="s">
        <v>593</v>
      </c>
      <c r="L258" s="696" t="s">
        <v>594</v>
      </c>
      <c r="M258" s="696"/>
      <c r="N258" s="696"/>
      <c r="O258" s="696" t="s">
        <v>14</v>
      </c>
      <c r="P258" s="696" t="s">
        <v>595</v>
      </c>
      <c r="Q258" s="696" t="s">
        <v>15</v>
      </c>
      <c r="R258" s="696" t="s">
        <v>418</v>
      </c>
      <c r="S258" s="303" t="s">
        <v>17</v>
      </c>
      <c r="T258" s="126" t="s">
        <v>419</v>
      </c>
      <c r="U258" s="126" t="s">
        <v>420</v>
      </c>
      <c r="V258" s="126" t="s">
        <v>421</v>
      </c>
      <c r="W258" s="126" t="s">
        <v>422</v>
      </c>
      <c r="X258" s="126" t="s">
        <v>423</v>
      </c>
      <c r="Y258" s="126"/>
    </row>
    <row r="259" spans="1:27" ht="20.45">
      <c r="A259" s="152">
        <v>44957</v>
      </c>
      <c r="B259" s="152"/>
      <c r="C259" s="700" t="s">
        <v>625</v>
      </c>
      <c r="D259" s="692"/>
      <c r="E259" s="692"/>
      <c r="F259" s="692"/>
      <c r="G259" s="692"/>
      <c r="H259" s="692"/>
      <c r="I259" s="692"/>
      <c r="J259" s="692"/>
      <c r="K259" s="692"/>
      <c r="L259" s="692"/>
      <c r="M259" s="692"/>
      <c r="N259" s="692"/>
      <c r="O259" s="197" t="s">
        <v>51</v>
      </c>
      <c r="P259" s="692"/>
      <c r="Q259" s="692"/>
      <c r="R259" s="692"/>
      <c r="S259" s="301">
        <v>55125</v>
      </c>
      <c r="T259" s="115"/>
      <c r="U259" s="200">
        <v>1.6999999999999999E-3</v>
      </c>
      <c r="V259" s="200">
        <v>-4.7999999999999996E-3</v>
      </c>
      <c r="W259" s="115"/>
      <c r="X259" s="115"/>
      <c r="Y259" s="115"/>
    </row>
    <row r="260" spans="1:27">
      <c r="A260" s="152">
        <v>44957</v>
      </c>
      <c r="B260" s="152"/>
      <c r="C260" s="700" t="s">
        <v>627</v>
      </c>
      <c r="D260" s="692"/>
      <c r="E260" s="692"/>
      <c r="F260" s="692"/>
      <c r="G260" s="692"/>
      <c r="H260" s="692"/>
      <c r="I260" s="692"/>
      <c r="J260" s="692"/>
      <c r="K260" s="692"/>
      <c r="L260" s="692"/>
      <c r="M260" s="692"/>
      <c r="N260" s="692"/>
      <c r="O260" s="197" t="s">
        <v>52</v>
      </c>
      <c r="P260" s="692"/>
      <c r="Q260" s="692"/>
      <c r="R260" s="692"/>
      <c r="S260" s="301">
        <v>61422</v>
      </c>
      <c r="T260" s="115"/>
      <c r="U260" s="201"/>
      <c r="V260" s="201"/>
      <c r="W260" s="120">
        <v>796</v>
      </c>
      <c r="X260" s="120">
        <v>599.9</v>
      </c>
      <c r="Y260" s="120"/>
    </row>
    <row r="261" spans="1:27">
      <c r="A261" s="152">
        <v>44957</v>
      </c>
      <c r="B261" s="152"/>
      <c r="C261" s="700" t="s">
        <v>599</v>
      </c>
      <c r="D261" s="692"/>
      <c r="E261" s="692"/>
      <c r="F261" s="692"/>
      <c r="G261" s="692"/>
      <c r="H261" s="692"/>
      <c r="I261" s="692"/>
      <c r="J261" s="692"/>
      <c r="K261" s="692"/>
      <c r="L261" s="692"/>
      <c r="M261" s="692"/>
      <c r="N261" s="692"/>
      <c r="O261" s="197"/>
      <c r="P261" s="692"/>
      <c r="Q261" s="692">
        <v>9</v>
      </c>
      <c r="R261" s="197">
        <v>4.0322009999999997</v>
      </c>
      <c r="S261" s="301">
        <v>62238</v>
      </c>
      <c r="T261" s="115"/>
      <c r="U261" s="201"/>
      <c r="V261" s="201"/>
      <c r="W261" s="125">
        <v>148</v>
      </c>
      <c r="X261" s="125">
        <v>1046</v>
      </c>
      <c r="Y261" s="125"/>
      <c r="Z261" s="163">
        <f>R261-R251</f>
        <v>7.2999999999545651E-5</v>
      </c>
    </row>
    <row r="262" spans="1:27" ht="20.45">
      <c r="A262" s="152">
        <v>44958</v>
      </c>
      <c r="B262" s="152"/>
      <c r="C262" s="700" t="s">
        <v>628</v>
      </c>
      <c r="D262" s="692"/>
      <c r="E262" s="692"/>
      <c r="F262" s="692"/>
      <c r="G262" s="692"/>
      <c r="H262" s="692"/>
      <c r="I262" s="692"/>
      <c r="J262" s="198">
        <v>101.5</v>
      </c>
      <c r="K262" s="198">
        <v>125.7</v>
      </c>
      <c r="L262" s="692"/>
      <c r="M262" s="692"/>
      <c r="N262" s="692"/>
      <c r="O262" s="197" t="s">
        <v>51</v>
      </c>
      <c r="P262" s="692"/>
      <c r="Q262" s="692"/>
      <c r="R262" s="692"/>
      <c r="S262" s="302">
        <v>91609</v>
      </c>
      <c r="T262" s="115"/>
      <c r="U262" s="202">
        <v>5.9999999999999995E-4</v>
      </c>
      <c r="V262" s="202">
        <v>1.2E-2</v>
      </c>
      <c r="W262" s="115"/>
      <c r="X262" s="115"/>
      <c r="Y262" s="115"/>
    </row>
    <row r="263" spans="1:27">
      <c r="A263" s="152">
        <v>44958</v>
      </c>
      <c r="B263" s="152"/>
      <c r="C263" s="700" t="s">
        <v>615</v>
      </c>
      <c r="D263" s="692"/>
      <c r="E263" s="692"/>
      <c r="F263" s="692"/>
      <c r="G263" s="692"/>
      <c r="H263" s="692"/>
      <c r="I263" s="692"/>
      <c r="J263" s="198">
        <v>88.7</v>
      </c>
      <c r="K263" s="198">
        <v>108.5</v>
      </c>
      <c r="L263" s="692"/>
      <c r="M263" s="692"/>
      <c r="N263" s="692"/>
      <c r="O263" s="199">
        <v>1133</v>
      </c>
      <c r="P263" s="692"/>
      <c r="Q263" s="692"/>
      <c r="R263" s="692"/>
      <c r="S263" s="301">
        <v>92814</v>
      </c>
      <c r="T263" s="115"/>
      <c r="U263" s="201"/>
      <c r="V263" s="201"/>
      <c r="W263" s="125">
        <v>795.8</v>
      </c>
      <c r="X263" s="125">
        <v>599.79999999999995</v>
      </c>
      <c r="Y263" s="125"/>
    </row>
    <row r="264" spans="1:27">
      <c r="A264" s="152">
        <v>44958</v>
      </c>
      <c r="B264" s="152"/>
      <c r="C264" s="700" t="s">
        <v>616</v>
      </c>
      <c r="D264" s="692"/>
      <c r="E264" s="692"/>
      <c r="F264" s="692"/>
      <c r="G264" s="692"/>
      <c r="H264" s="692"/>
      <c r="I264" s="692"/>
      <c r="J264" s="198">
        <v>69.2</v>
      </c>
      <c r="K264" s="198">
        <v>102.9</v>
      </c>
      <c r="L264" s="692"/>
      <c r="M264" s="692"/>
      <c r="N264" s="692"/>
      <c r="O264" s="199">
        <v>1135</v>
      </c>
      <c r="P264" s="692"/>
      <c r="Q264" s="692"/>
      <c r="R264" s="197">
        <v>3.4595250000000002</v>
      </c>
      <c r="S264" s="301">
        <v>93446</v>
      </c>
      <c r="T264" s="115"/>
      <c r="U264" s="201"/>
      <c r="V264" s="201"/>
      <c r="W264" s="125">
        <v>218</v>
      </c>
      <c r="X264" s="125">
        <v>934</v>
      </c>
      <c r="Y264" s="125"/>
      <c r="Z264" s="163">
        <f>R264-R254</f>
        <v>-5.599999999983396E-5</v>
      </c>
    </row>
    <row r="265" spans="1:27">
      <c r="A265" s="115"/>
      <c r="B265" s="115"/>
      <c r="C265" s="700"/>
      <c r="D265" s="692"/>
      <c r="E265" s="692"/>
      <c r="F265" s="692"/>
      <c r="G265" s="692"/>
      <c r="H265" s="692"/>
      <c r="I265" s="692"/>
      <c r="J265" s="692"/>
      <c r="K265" s="692"/>
      <c r="L265" s="692"/>
      <c r="M265" s="692"/>
      <c r="N265" s="692"/>
      <c r="O265" s="692"/>
      <c r="P265" s="692"/>
      <c r="Q265" s="692"/>
      <c r="R265" s="692"/>
      <c r="T265" s="115"/>
      <c r="U265" s="201"/>
      <c r="V265" s="201"/>
      <c r="W265" s="115"/>
      <c r="X265" s="115"/>
      <c r="Y265" s="115"/>
    </row>
    <row r="266" spans="1:27" ht="21.6">
      <c r="A266" s="126" t="s">
        <v>0</v>
      </c>
      <c r="B266" s="126"/>
      <c r="C266" s="272" t="s">
        <v>375</v>
      </c>
      <c r="D266" s="750" t="s">
        <v>6</v>
      </c>
      <c r="E266" s="750"/>
      <c r="F266" s="750" t="s">
        <v>7</v>
      </c>
      <c r="G266" s="750"/>
      <c r="H266" s="750" t="s">
        <v>8</v>
      </c>
      <c r="I266" s="750"/>
      <c r="J266" s="696" t="s">
        <v>629</v>
      </c>
      <c r="K266" s="696" t="s">
        <v>630</v>
      </c>
      <c r="L266" s="696" t="s">
        <v>631</v>
      </c>
      <c r="M266" s="696" t="s">
        <v>632</v>
      </c>
      <c r="N266" s="696" t="s">
        <v>633</v>
      </c>
      <c r="O266" s="696" t="s">
        <v>14</v>
      </c>
      <c r="P266" s="696" t="s">
        <v>595</v>
      </c>
      <c r="Q266" s="696" t="s">
        <v>15</v>
      </c>
      <c r="R266" s="696" t="s">
        <v>16</v>
      </c>
      <c r="S266" s="303" t="s">
        <v>17</v>
      </c>
      <c r="T266" s="126" t="s">
        <v>419</v>
      </c>
      <c r="U266" s="203" t="s">
        <v>420</v>
      </c>
      <c r="V266" s="203" t="s">
        <v>421</v>
      </c>
      <c r="W266" s="126" t="s">
        <v>422</v>
      </c>
      <c r="X266" s="126" t="s">
        <v>423</v>
      </c>
      <c r="Y266" s="126"/>
    </row>
    <row r="267" spans="1:27" ht="20.45">
      <c r="A267" s="152">
        <v>44959</v>
      </c>
      <c r="B267" s="152"/>
      <c r="C267" s="700" t="s">
        <v>625</v>
      </c>
      <c r="D267" s="692"/>
      <c r="E267" s="692"/>
      <c r="F267" s="692"/>
      <c r="G267" s="692"/>
      <c r="H267" s="692"/>
      <c r="I267" s="692"/>
      <c r="J267" s="692">
        <v>250</v>
      </c>
      <c r="K267" s="692">
        <v>-65</v>
      </c>
      <c r="L267" s="692">
        <v>-60.001199999999997</v>
      </c>
      <c r="M267" s="692">
        <v>-2.9999999999999997E-4</v>
      </c>
      <c r="N267" s="692">
        <v>2.9999999999999997E-4</v>
      </c>
      <c r="O267" s="197" t="s">
        <v>51</v>
      </c>
      <c r="P267" s="692"/>
      <c r="Q267" s="692"/>
      <c r="R267" s="692"/>
      <c r="S267" s="301">
        <v>41848</v>
      </c>
      <c r="T267" s="115"/>
      <c r="U267" s="200">
        <v>4.7999999999999996E-3</v>
      </c>
      <c r="V267" s="200">
        <v>-4.7999999999999996E-3</v>
      </c>
      <c r="W267" s="115"/>
      <c r="X267" s="115"/>
      <c r="Y267" s="115"/>
    </row>
    <row r="268" spans="1:27" ht="20.45">
      <c r="A268" s="152">
        <v>44959</v>
      </c>
      <c r="B268" s="152"/>
      <c r="C268" s="700" t="s">
        <v>634</v>
      </c>
      <c r="D268" s="692"/>
      <c r="E268" s="692"/>
      <c r="F268" s="692"/>
      <c r="G268" s="692"/>
      <c r="H268" s="692"/>
      <c r="I268" s="692"/>
      <c r="J268" s="692">
        <v>250</v>
      </c>
      <c r="K268" s="692">
        <v>-65</v>
      </c>
      <c r="L268" s="692">
        <v>-60.001199999999997</v>
      </c>
      <c r="M268" s="692">
        <v>-2.9999999999999997E-4</v>
      </c>
      <c r="N268" s="692">
        <v>2.9999999999999997E-4</v>
      </c>
      <c r="O268" s="197" t="s">
        <v>54</v>
      </c>
      <c r="P268" s="692"/>
      <c r="Q268" s="692"/>
      <c r="R268" s="692"/>
      <c r="S268" s="301">
        <v>43107</v>
      </c>
      <c r="T268" s="115"/>
      <c r="U268" s="201"/>
      <c r="V268" s="201"/>
      <c r="W268" s="120">
        <v>795.72400000000005</v>
      </c>
      <c r="X268" s="120">
        <v>601.92100000000005</v>
      </c>
      <c r="Y268" s="120"/>
    </row>
    <row r="269" spans="1:27" ht="20.45">
      <c r="A269" s="152">
        <v>44959</v>
      </c>
      <c r="B269" s="152"/>
      <c r="C269" s="700" t="s">
        <v>635</v>
      </c>
      <c r="D269" s="692"/>
      <c r="E269" s="692"/>
      <c r="F269" s="692"/>
      <c r="G269" s="692"/>
      <c r="H269" s="692"/>
      <c r="I269" s="692"/>
      <c r="J269" s="692">
        <v>250</v>
      </c>
      <c r="K269" s="692">
        <v>-65</v>
      </c>
      <c r="L269" s="692">
        <v>-60.001199999999997</v>
      </c>
      <c r="M269" s="692">
        <v>-2.9999999999999997E-4</v>
      </c>
      <c r="N269" s="692">
        <v>2.9999999999999997E-4</v>
      </c>
      <c r="O269" s="197" t="s">
        <v>313</v>
      </c>
      <c r="P269" s="692"/>
      <c r="Q269" s="692"/>
      <c r="R269" s="197">
        <v>4.0321220000000002</v>
      </c>
      <c r="S269" s="301">
        <v>43424</v>
      </c>
      <c r="T269" s="115"/>
      <c r="U269" s="201"/>
      <c r="V269" s="201"/>
      <c r="W269" s="125">
        <v>151</v>
      </c>
      <c r="X269" s="125">
        <v>1049</v>
      </c>
      <c r="Y269" s="125"/>
      <c r="Z269" s="163">
        <f>(R269-R261)*1000000</f>
        <v>-78.99999999949614</v>
      </c>
      <c r="AA269" s="164">
        <f>R269/R272</f>
        <v>1.1655037514962194</v>
      </c>
    </row>
    <row r="270" spans="1:27" ht="20.45">
      <c r="A270" s="152">
        <v>44959</v>
      </c>
      <c r="B270" s="152"/>
      <c r="C270" s="700" t="s">
        <v>628</v>
      </c>
      <c r="D270" s="692"/>
      <c r="E270" s="692"/>
      <c r="F270" s="692"/>
      <c r="G270" s="692"/>
      <c r="H270" s="692"/>
      <c r="I270" s="692"/>
      <c r="J270" s="198">
        <v>101.501</v>
      </c>
      <c r="K270" s="198">
        <v>125.703</v>
      </c>
      <c r="L270" s="692">
        <v>3.3999999999999998E-3</v>
      </c>
      <c r="M270" s="692">
        <v>0.10546999999999999</v>
      </c>
      <c r="N270" s="692">
        <v>6.164E-2</v>
      </c>
      <c r="O270" s="197" t="s">
        <v>65</v>
      </c>
      <c r="P270" s="692"/>
      <c r="Q270" s="692"/>
      <c r="R270" s="692"/>
      <c r="S270" s="302">
        <v>50814</v>
      </c>
      <c r="T270" s="115"/>
      <c r="U270" s="202">
        <v>-1E-4</v>
      </c>
      <c r="V270" s="202">
        <v>-1.0999999999999999E-2</v>
      </c>
      <c r="W270" s="115"/>
      <c r="X270" s="115"/>
      <c r="Y270" s="115"/>
    </row>
    <row r="271" spans="1:27">
      <c r="A271" s="152">
        <v>44959</v>
      </c>
      <c r="B271" s="152"/>
      <c r="C271" s="700" t="s">
        <v>615</v>
      </c>
      <c r="D271" s="692"/>
      <c r="E271" s="692"/>
      <c r="F271" s="692"/>
      <c r="G271" s="692"/>
      <c r="H271" s="692"/>
      <c r="I271" s="692"/>
      <c r="J271" s="198">
        <v>88.596000000000004</v>
      </c>
      <c r="K271" s="198">
        <v>108.399</v>
      </c>
      <c r="L271" s="692">
        <v>5.0000000000000001E-4</v>
      </c>
      <c r="M271" s="692">
        <v>0.10556</v>
      </c>
      <c r="N271" s="692">
        <v>6.1699999999999998E-2</v>
      </c>
      <c r="O271" s="199">
        <v>1135</v>
      </c>
      <c r="P271" s="692"/>
      <c r="Q271" s="692"/>
      <c r="R271" s="692"/>
      <c r="S271" s="301">
        <v>52350</v>
      </c>
      <c r="T271" s="115"/>
      <c r="U271" s="115"/>
      <c r="V271" s="115"/>
      <c r="W271" s="125">
        <v>795.70699999999999</v>
      </c>
      <c r="X271" s="125">
        <v>601.77099999999996</v>
      </c>
      <c r="Y271" s="125"/>
    </row>
    <row r="272" spans="1:27">
      <c r="A272" s="152">
        <v>44959</v>
      </c>
      <c r="B272" s="152"/>
      <c r="C272" s="700" t="s">
        <v>616</v>
      </c>
      <c r="D272" s="692"/>
      <c r="E272" s="692"/>
      <c r="F272" s="692"/>
      <c r="G272" s="692"/>
      <c r="H272" s="692"/>
      <c r="I272" s="692"/>
      <c r="J272" s="198">
        <v>69.200199999999995</v>
      </c>
      <c r="K272" s="198">
        <v>102.898</v>
      </c>
      <c r="L272" s="692">
        <v>-9.7999999999999997E-4</v>
      </c>
      <c r="M272" s="692">
        <v>0.105963</v>
      </c>
      <c r="N272" s="692">
        <v>6.1069999999999999E-2</v>
      </c>
      <c r="O272" s="199">
        <v>1139</v>
      </c>
      <c r="P272" s="692"/>
      <c r="Q272" s="692"/>
      <c r="R272" s="204">
        <v>3.4595530000000001</v>
      </c>
      <c r="S272" s="301">
        <v>53120</v>
      </c>
      <c r="T272" s="115"/>
      <c r="U272" s="115"/>
      <c r="V272" s="115"/>
      <c r="W272" s="125">
        <v>220</v>
      </c>
      <c r="X272" s="125">
        <v>931</v>
      </c>
      <c r="Y272" s="125"/>
      <c r="Z272" s="205">
        <f>R272-R264</f>
        <v>2.799999999991698E-5</v>
      </c>
    </row>
    <row r="273" spans="1:27">
      <c r="A273" s="115"/>
      <c r="B273" s="115"/>
      <c r="C273" s="700"/>
      <c r="D273" s="692"/>
      <c r="E273" s="692"/>
      <c r="F273" s="692"/>
      <c r="G273" s="692"/>
      <c r="H273" s="692"/>
      <c r="I273" s="692"/>
      <c r="J273" s="692"/>
      <c r="K273" s="692"/>
      <c r="L273" s="692"/>
      <c r="M273" s="692"/>
      <c r="N273" s="692"/>
      <c r="O273" s="692"/>
      <c r="P273" s="692"/>
      <c r="Q273" s="692"/>
      <c r="R273" s="692"/>
      <c r="T273" s="115"/>
      <c r="U273" s="115"/>
      <c r="V273" s="115"/>
      <c r="W273" s="115"/>
      <c r="X273" s="115"/>
      <c r="Y273" s="115"/>
    </row>
    <row r="274" spans="1:27" ht="23.25" customHeight="1">
      <c r="A274" s="750" t="s">
        <v>636</v>
      </c>
      <c r="B274" s="750"/>
      <c r="C274" s="750"/>
      <c r="D274" s="750"/>
      <c r="E274" s="750"/>
      <c r="F274" s="750"/>
      <c r="G274" s="750"/>
      <c r="H274" s="750"/>
      <c r="I274" s="750"/>
      <c r="J274" s="750"/>
      <c r="K274" s="750"/>
      <c r="L274" s="750"/>
      <c r="M274" s="750"/>
      <c r="N274" s="750"/>
      <c r="O274" s="750"/>
      <c r="P274" s="750"/>
      <c r="Q274" s="750"/>
      <c r="R274" s="750"/>
      <c r="S274" s="750"/>
      <c r="T274" s="750"/>
      <c r="U274" s="750"/>
      <c r="V274" s="750"/>
      <c r="W274" s="750"/>
      <c r="X274" s="750"/>
      <c r="Y274" s="696"/>
      <c r="AA274" s="164" t="s">
        <v>637</v>
      </c>
    </row>
    <row r="275" spans="1:27" ht="20.45">
      <c r="A275" s="152">
        <v>44960</v>
      </c>
      <c r="B275" s="152"/>
      <c r="C275" s="700" t="s">
        <v>625</v>
      </c>
      <c r="D275" s="692"/>
      <c r="E275" s="692"/>
      <c r="F275" s="692"/>
      <c r="G275" s="692"/>
      <c r="H275" s="692"/>
      <c r="I275" s="692"/>
      <c r="J275" s="692">
        <v>-2147.5</v>
      </c>
      <c r="K275" s="692">
        <v>-65</v>
      </c>
      <c r="L275" s="692">
        <v>-60</v>
      </c>
      <c r="M275" s="692">
        <v>0</v>
      </c>
      <c r="N275" s="692">
        <v>0</v>
      </c>
      <c r="O275" s="197" t="s">
        <v>68</v>
      </c>
      <c r="P275" s="692"/>
      <c r="Q275" s="692"/>
      <c r="R275" s="692"/>
      <c r="S275" s="301">
        <v>33856</v>
      </c>
      <c r="T275" s="115"/>
      <c r="U275" s="200">
        <v>2E-3</v>
      </c>
      <c r="V275" s="200">
        <v>-7.6E-3</v>
      </c>
      <c r="W275" s="115"/>
      <c r="X275" s="115"/>
      <c r="Y275" s="115"/>
      <c r="AA275" s="164" t="s">
        <v>638</v>
      </c>
    </row>
    <row r="276" spans="1:27" ht="20.45">
      <c r="A276" s="152">
        <v>44960</v>
      </c>
      <c r="B276" s="152"/>
      <c r="C276" s="700" t="s">
        <v>634</v>
      </c>
      <c r="D276" s="692"/>
      <c r="E276" s="692"/>
      <c r="F276" s="692"/>
      <c r="G276" s="692"/>
      <c r="H276" s="692"/>
      <c r="I276" s="692"/>
      <c r="J276" s="692"/>
      <c r="K276" s="692"/>
      <c r="L276" s="692"/>
      <c r="M276" s="692"/>
      <c r="N276" s="692"/>
      <c r="O276" s="197" t="s">
        <v>313</v>
      </c>
      <c r="P276" s="692"/>
      <c r="Q276" s="692"/>
      <c r="R276" s="692"/>
      <c r="S276" s="301">
        <v>34915</v>
      </c>
      <c r="T276" s="115"/>
      <c r="U276" s="201"/>
      <c r="V276" s="201"/>
      <c r="W276" s="120">
        <v>795.8</v>
      </c>
      <c r="X276" s="120">
        <v>599.70000000000005</v>
      </c>
      <c r="Y276" s="120"/>
      <c r="AA276" s="164" t="s">
        <v>639</v>
      </c>
    </row>
    <row r="277" spans="1:27" ht="20.45">
      <c r="A277" s="152">
        <v>44960</v>
      </c>
      <c r="B277" s="152"/>
      <c r="C277" s="700" t="s">
        <v>635</v>
      </c>
      <c r="D277" s="692"/>
      <c r="E277" s="692"/>
      <c r="F277" s="692"/>
      <c r="G277" s="692"/>
      <c r="H277" s="692"/>
      <c r="I277" s="692"/>
      <c r="J277" s="692"/>
      <c r="K277" s="692"/>
      <c r="L277" s="692"/>
      <c r="M277" s="692"/>
      <c r="N277" s="692"/>
      <c r="O277" s="197" t="s">
        <v>640</v>
      </c>
      <c r="P277" s="692"/>
      <c r="Q277" s="692"/>
      <c r="R277" s="197">
        <v>4.0322449999999996</v>
      </c>
      <c r="S277" s="301">
        <v>35549</v>
      </c>
      <c r="T277" s="115"/>
      <c r="U277" s="201"/>
      <c r="V277" s="201"/>
      <c r="W277" s="125">
        <v>151</v>
      </c>
      <c r="X277" s="125">
        <v>1046</v>
      </c>
      <c r="Y277" s="125"/>
      <c r="Z277" s="205">
        <f>(R277-R269)*1000000</f>
        <v>122.99999999942912</v>
      </c>
      <c r="AA277" s="164" t="s">
        <v>641</v>
      </c>
    </row>
    <row r="278" spans="1:27" ht="20.45">
      <c r="A278" s="152">
        <v>44960</v>
      </c>
      <c r="B278" s="152"/>
      <c r="C278" s="700" t="s">
        <v>628</v>
      </c>
      <c r="D278" s="692"/>
      <c r="E278" s="692"/>
      <c r="F278" s="692"/>
      <c r="G278" s="692"/>
      <c r="H278" s="692"/>
      <c r="I278" s="692"/>
      <c r="J278" s="198">
        <v>101.502</v>
      </c>
      <c r="K278" s="198">
        <v>125.703</v>
      </c>
      <c r="L278" s="692">
        <v>-3.0000000000000001E-3</v>
      </c>
      <c r="M278" s="692">
        <v>0.1055</v>
      </c>
      <c r="N278" s="692">
        <v>6.1490000000000003E-2</v>
      </c>
      <c r="O278" s="197" t="s">
        <v>556</v>
      </c>
      <c r="P278" s="692"/>
      <c r="Q278" s="692"/>
      <c r="R278" s="692"/>
      <c r="S278" s="301">
        <v>42244</v>
      </c>
      <c r="T278" s="115"/>
      <c r="U278" s="202">
        <v>-2.5000000000000001E-3</v>
      </c>
      <c r="V278" s="202">
        <v>-1.04E-2</v>
      </c>
      <c r="W278" s="115"/>
      <c r="X278" s="115"/>
      <c r="Y278" s="115"/>
      <c r="Z278" s="205"/>
      <c r="AA278" s="164" t="s">
        <v>642</v>
      </c>
    </row>
    <row r="279" spans="1:27">
      <c r="A279" s="152">
        <v>44960</v>
      </c>
      <c r="B279" s="152"/>
      <c r="C279" s="700" t="s">
        <v>615</v>
      </c>
      <c r="D279" s="692"/>
      <c r="E279" s="692"/>
      <c r="F279" s="692"/>
      <c r="G279" s="692"/>
      <c r="H279" s="692"/>
      <c r="I279" s="692"/>
      <c r="J279" s="198">
        <v>88.501000000000005</v>
      </c>
      <c r="K279" s="198">
        <v>108.39700000000001</v>
      </c>
      <c r="L279" s="692">
        <v>-2E-3</v>
      </c>
      <c r="M279" s="692">
        <v>0.1056</v>
      </c>
      <c r="N279" s="692">
        <v>6.1499999999999999E-2</v>
      </c>
      <c r="O279" s="199">
        <v>1137</v>
      </c>
      <c r="P279" s="692"/>
      <c r="Q279" s="692"/>
      <c r="R279" s="692"/>
      <c r="S279" s="301">
        <v>43354</v>
      </c>
      <c r="T279" s="115"/>
      <c r="U279" s="115"/>
      <c r="V279" s="115"/>
      <c r="W279" s="125">
        <v>794.5</v>
      </c>
      <c r="X279" s="125">
        <v>601.6</v>
      </c>
      <c r="Y279" s="125"/>
      <c r="AA279" s="164" t="s">
        <v>643</v>
      </c>
    </row>
    <row r="280" spans="1:27">
      <c r="A280" s="152">
        <v>44960</v>
      </c>
      <c r="B280" s="152"/>
      <c r="C280" s="700" t="s">
        <v>616</v>
      </c>
      <c r="D280" s="692"/>
      <c r="E280" s="692"/>
      <c r="F280" s="692"/>
      <c r="G280" s="692"/>
      <c r="H280" s="692"/>
      <c r="I280" s="692"/>
      <c r="J280" s="198">
        <v>69.201999999999998</v>
      </c>
      <c r="K280" s="198">
        <v>102.89700000000001</v>
      </c>
      <c r="L280" s="692">
        <v>-3.0000000000000001E-3</v>
      </c>
      <c r="M280" s="692">
        <v>0.1056</v>
      </c>
      <c r="N280" s="692">
        <v>6.1600000000000002E-2</v>
      </c>
      <c r="O280" s="199">
        <v>1141</v>
      </c>
      <c r="P280" s="692"/>
      <c r="Q280" s="692"/>
      <c r="R280" s="204">
        <v>3.459622</v>
      </c>
      <c r="S280" s="301">
        <v>44338</v>
      </c>
      <c r="T280" s="115"/>
      <c r="U280" s="115"/>
      <c r="V280" s="115"/>
      <c r="W280" s="125">
        <v>219</v>
      </c>
      <c r="X280" s="125">
        <v>931</v>
      </c>
      <c r="Y280" s="125"/>
      <c r="AA280" s="164" t="s">
        <v>644</v>
      </c>
    </row>
    <row r="281" spans="1:27">
      <c r="A281" s="152">
        <v>44960</v>
      </c>
      <c r="B281" s="152"/>
      <c r="C281" s="700" t="s">
        <v>34</v>
      </c>
      <c r="D281" s="692"/>
      <c r="E281" s="692"/>
      <c r="F281" s="692"/>
      <c r="G281" s="692"/>
      <c r="H281" s="692"/>
      <c r="I281" s="692"/>
      <c r="J281" s="198">
        <v>-76.102999999999994</v>
      </c>
      <c r="K281" s="198">
        <v>125.70099999999999</v>
      </c>
      <c r="L281" s="692">
        <v>2E-3</v>
      </c>
      <c r="M281" s="692">
        <v>9.2799999999999994E-2</v>
      </c>
      <c r="N281" s="692">
        <v>6.0999999999999999E-2</v>
      </c>
      <c r="O281" s="197" t="s">
        <v>70</v>
      </c>
      <c r="P281" s="692"/>
      <c r="Q281" s="692"/>
      <c r="R281" s="692"/>
      <c r="S281" s="301">
        <v>51403</v>
      </c>
      <c r="T281" s="115"/>
      <c r="U281" s="202">
        <v>1.2999999999999999E-3</v>
      </c>
      <c r="V281" s="202">
        <v>1E-4</v>
      </c>
      <c r="W281" s="115"/>
      <c r="X281" s="115"/>
      <c r="Y281" s="115"/>
      <c r="AA281" s="164" t="s">
        <v>645</v>
      </c>
    </row>
    <row r="282" spans="1:27">
      <c r="A282" s="152">
        <v>44960</v>
      </c>
      <c r="B282" s="152"/>
      <c r="C282" s="700" t="s">
        <v>646</v>
      </c>
      <c r="D282" s="692"/>
      <c r="E282" s="692"/>
      <c r="F282" s="692"/>
      <c r="G282" s="692"/>
      <c r="H282" s="692"/>
      <c r="I282" s="692"/>
      <c r="J282" s="198">
        <v>-60.395000000000003</v>
      </c>
      <c r="K282" s="198">
        <v>108.399</v>
      </c>
      <c r="L282" s="692">
        <v>1E-4</v>
      </c>
      <c r="M282" s="692">
        <v>9.2899999999999996E-2</v>
      </c>
      <c r="N282" s="692">
        <v>6.1100000000000002E-2</v>
      </c>
      <c r="O282" s="199">
        <v>1132</v>
      </c>
      <c r="P282" s="692"/>
      <c r="Q282" s="692"/>
      <c r="R282" s="692"/>
      <c r="S282" s="301">
        <v>55628</v>
      </c>
      <c r="T282" s="115"/>
      <c r="U282" s="115"/>
      <c r="V282" s="115"/>
      <c r="W282" s="125">
        <v>796.6</v>
      </c>
      <c r="X282" s="125">
        <v>599.6</v>
      </c>
      <c r="Y282" s="125"/>
    </row>
    <row r="283" spans="1:27">
      <c r="A283" s="152">
        <v>44960</v>
      </c>
      <c r="B283" s="152"/>
      <c r="C283" s="700" t="s">
        <v>647</v>
      </c>
      <c r="D283" s="692"/>
      <c r="E283" s="692"/>
      <c r="F283" s="692"/>
      <c r="G283" s="692"/>
      <c r="H283" s="692"/>
      <c r="I283" s="692"/>
      <c r="J283" s="198">
        <v>-103.996</v>
      </c>
      <c r="K283" s="198">
        <v>102.70099999999999</v>
      </c>
      <c r="L283" s="692">
        <v>-1E-3</v>
      </c>
      <c r="M283" s="692">
        <v>9.2899999999999996E-2</v>
      </c>
      <c r="N283" s="692">
        <v>6.1199999999999997E-2</v>
      </c>
      <c r="O283" s="199">
        <v>1132</v>
      </c>
      <c r="P283" s="692"/>
      <c r="Q283" s="692"/>
      <c r="R283" s="204">
        <v>3.4596100000000001</v>
      </c>
      <c r="S283" s="301">
        <v>60607</v>
      </c>
      <c r="T283" s="115"/>
      <c r="U283" s="115"/>
      <c r="V283" s="115"/>
      <c r="W283" s="125">
        <v>215</v>
      </c>
      <c r="X283" s="125">
        <v>935</v>
      </c>
      <c r="Y283" s="125"/>
    </row>
    <row r="284" spans="1:27" ht="20.45">
      <c r="A284" s="152">
        <v>44960</v>
      </c>
      <c r="B284" s="152"/>
      <c r="C284" s="700" t="s">
        <v>648</v>
      </c>
      <c r="D284" s="692">
        <v>21.68</v>
      </c>
      <c r="E284" s="692">
        <v>21.66</v>
      </c>
      <c r="F284" s="692">
        <v>21.53</v>
      </c>
      <c r="G284" s="692">
        <v>25.27</v>
      </c>
      <c r="H284" s="692">
        <v>24.15</v>
      </c>
      <c r="I284" s="692">
        <v>23.75</v>
      </c>
      <c r="J284" s="692"/>
      <c r="K284" s="692"/>
      <c r="L284" s="692"/>
      <c r="M284" s="692"/>
      <c r="N284" s="692"/>
      <c r="O284" s="692"/>
      <c r="P284" s="692"/>
      <c r="Q284" s="692"/>
      <c r="R284" s="692"/>
      <c r="S284" s="301" t="s">
        <v>649</v>
      </c>
      <c r="T284" s="115"/>
      <c r="U284" s="115"/>
      <c r="V284" s="115"/>
      <c r="W284" s="115"/>
      <c r="X284" s="115"/>
      <c r="Y284" s="115"/>
    </row>
    <row r="285" spans="1:27" ht="21.6">
      <c r="A285" s="126" t="s">
        <v>0</v>
      </c>
      <c r="B285" s="126"/>
      <c r="C285" s="272" t="s">
        <v>375</v>
      </c>
      <c r="D285" s="750" t="s">
        <v>6</v>
      </c>
      <c r="E285" s="750"/>
      <c r="F285" s="750" t="s">
        <v>7</v>
      </c>
      <c r="G285" s="750"/>
      <c r="H285" s="750" t="s">
        <v>8</v>
      </c>
      <c r="I285" s="750"/>
      <c r="J285" s="696" t="s">
        <v>629</v>
      </c>
      <c r="K285" s="696" t="s">
        <v>630</v>
      </c>
      <c r="L285" s="696" t="s">
        <v>631</v>
      </c>
      <c r="M285" s="696" t="s">
        <v>632</v>
      </c>
      <c r="N285" s="696" t="s">
        <v>633</v>
      </c>
      <c r="O285" s="696" t="s">
        <v>14</v>
      </c>
      <c r="P285" s="696" t="s">
        <v>595</v>
      </c>
      <c r="Q285" s="696" t="s">
        <v>15</v>
      </c>
      <c r="R285" s="696" t="s">
        <v>16</v>
      </c>
      <c r="S285" s="303" t="s">
        <v>17</v>
      </c>
      <c r="T285" s="126" t="s">
        <v>419</v>
      </c>
      <c r="U285" s="203" t="s">
        <v>420</v>
      </c>
      <c r="V285" s="203" t="s">
        <v>421</v>
      </c>
      <c r="W285" s="126" t="s">
        <v>422</v>
      </c>
      <c r="X285" s="126" t="s">
        <v>423</v>
      </c>
      <c r="Y285" s="126"/>
    </row>
    <row r="286" spans="1:27" ht="20.45">
      <c r="A286" s="152">
        <v>44962</v>
      </c>
      <c r="B286" s="152"/>
      <c r="C286" s="700" t="s">
        <v>625</v>
      </c>
      <c r="D286" s="692">
        <v>21.66</v>
      </c>
      <c r="E286" s="692">
        <v>23.63</v>
      </c>
      <c r="F286" s="692">
        <v>21.44</v>
      </c>
      <c r="G286" s="692">
        <v>24.89</v>
      </c>
      <c r="H286" s="692">
        <v>24.15</v>
      </c>
      <c r="I286" s="692">
        <v>23.75</v>
      </c>
      <c r="J286" s="206">
        <v>-2147.48</v>
      </c>
      <c r="K286" s="206">
        <v>-65.001000000000005</v>
      </c>
      <c r="L286" s="207">
        <v>-60.0047</v>
      </c>
      <c r="M286" s="207">
        <v>-8.0000000000000004E-4</v>
      </c>
      <c r="N286" s="207">
        <v>3.1E-4</v>
      </c>
      <c r="O286" s="197" t="s">
        <v>70</v>
      </c>
      <c r="P286" s="692"/>
      <c r="Q286" s="692"/>
      <c r="R286" s="692"/>
      <c r="S286" s="301">
        <v>80159</v>
      </c>
      <c r="T286" s="115"/>
      <c r="U286" s="200">
        <v>3.7000000000000002E-3</v>
      </c>
      <c r="V286" s="200">
        <v>-6.4999999999999997E-3</v>
      </c>
      <c r="W286" s="115"/>
      <c r="X286" s="115"/>
      <c r="Y286" s="115"/>
    </row>
    <row r="287" spans="1:27" ht="20.45">
      <c r="A287" s="152">
        <v>44962</v>
      </c>
      <c r="B287" s="152"/>
      <c r="C287" s="700" t="s">
        <v>634</v>
      </c>
      <c r="D287" s="692">
        <v>21.66</v>
      </c>
      <c r="E287" s="692">
        <v>23.63</v>
      </c>
      <c r="F287" s="692">
        <v>21.44</v>
      </c>
      <c r="G287" s="692">
        <v>24.89</v>
      </c>
      <c r="H287" s="692">
        <v>24.15</v>
      </c>
      <c r="I287" s="692">
        <v>23.75</v>
      </c>
      <c r="J287" s="206">
        <v>-2147.48</v>
      </c>
      <c r="K287" s="206">
        <v>-65.001000000000005</v>
      </c>
      <c r="L287" s="207">
        <v>-60.0047</v>
      </c>
      <c r="M287" s="207">
        <v>-8.0000000000000004E-4</v>
      </c>
      <c r="N287" s="207">
        <v>3.1E-4</v>
      </c>
      <c r="O287" s="197" t="s">
        <v>67</v>
      </c>
      <c r="P287" s="692"/>
      <c r="Q287" s="692"/>
      <c r="R287" s="692"/>
      <c r="S287" s="301">
        <v>75615</v>
      </c>
      <c r="T287" s="115"/>
      <c r="U287" s="201"/>
      <c r="V287" s="201"/>
      <c r="W287" s="120">
        <v>792.6</v>
      </c>
      <c r="X287" s="120">
        <v>604.4</v>
      </c>
      <c r="Y287" s="120"/>
    </row>
    <row r="288" spans="1:27" ht="20.45">
      <c r="A288" s="152">
        <v>44962</v>
      </c>
      <c r="B288" s="152"/>
      <c r="C288" s="700" t="s">
        <v>635</v>
      </c>
      <c r="D288" s="692">
        <v>21.66</v>
      </c>
      <c r="E288" s="692">
        <v>23.63</v>
      </c>
      <c r="F288" s="692">
        <v>21.44</v>
      </c>
      <c r="G288" s="692">
        <v>24.89</v>
      </c>
      <c r="H288" s="692">
        <v>24.15</v>
      </c>
      <c r="I288" s="692">
        <v>23.75</v>
      </c>
      <c r="J288" s="206">
        <v>-2147.48</v>
      </c>
      <c r="K288" s="206">
        <v>-65.001000000000005</v>
      </c>
      <c r="L288" s="207">
        <v>-60.0047</v>
      </c>
      <c r="M288" s="207">
        <v>-8.0000000000000004E-4</v>
      </c>
      <c r="N288" s="207">
        <v>3.1E-4</v>
      </c>
      <c r="O288" s="197" t="s">
        <v>650</v>
      </c>
      <c r="P288" s="692"/>
      <c r="Q288" s="692"/>
      <c r="R288" s="197">
        <v>4.0322199999999997</v>
      </c>
      <c r="S288" s="301">
        <v>80641</v>
      </c>
      <c r="T288" s="115"/>
      <c r="U288" s="201"/>
      <c r="V288" s="201"/>
      <c r="W288" s="125">
        <v>149</v>
      </c>
      <c r="X288" s="125">
        <v>1048</v>
      </c>
      <c r="Y288" s="125"/>
    </row>
    <row r="289" spans="1:32">
      <c r="A289" s="152">
        <v>44962</v>
      </c>
      <c r="B289" s="152"/>
      <c r="C289" s="700" t="s">
        <v>31</v>
      </c>
      <c r="D289" s="692">
        <v>21.66</v>
      </c>
      <c r="E289" s="692">
        <v>23.63</v>
      </c>
      <c r="F289" s="692">
        <v>21.44</v>
      </c>
      <c r="G289" s="692">
        <v>24.89</v>
      </c>
      <c r="H289" s="692">
        <v>24.15</v>
      </c>
      <c r="I289" s="692">
        <v>23.75</v>
      </c>
      <c r="J289" s="206">
        <v>101.5</v>
      </c>
      <c r="K289" s="206">
        <v>125.7</v>
      </c>
      <c r="L289" s="207">
        <v>1.8E-3</v>
      </c>
      <c r="M289" s="207">
        <v>0.1055</v>
      </c>
      <c r="N289" s="207">
        <v>6.1199999999999997E-2</v>
      </c>
      <c r="O289" s="197" t="s">
        <v>65</v>
      </c>
      <c r="P289" s="692"/>
      <c r="Q289" s="692"/>
      <c r="R289" s="692"/>
      <c r="S289" s="301">
        <v>82833</v>
      </c>
      <c r="T289" s="115"/>
      <c r="U289" s="202">
        <v>-2.2000000000000001E-3</v>
      </c>
      <c r="V289" s="202">
        <v>-1.0699999999999999E-2</v>
      </c>
      <c r="W289" s="115"/>
      <c r="X289" s="115"/>
      <c r="Y289" s="115"/>
    </row>
    <row r="290" spans="1:32">
      <c r="A290" s="152">
        <v>44962</v>
      </c>
      <c r="B290" s="152"/>
      <c r="C290" s="700" t="s">
        <v>615</v>
      </c>
      <c r="D290" s="692">
        <v>21.66</v>
      </c>
      <c r="E290" s="692">
        <v>23.63</v>
      </c>
      <c r="F290" s="692">
        <v>21.44</v>
      </c>
      <c r="G290" s="692">
        <v>24.89</v>
      </c>
      <c r="H290" s="692">
        <v>24.15</v>
      </c>
      <c r="I290" s="692">
        <v>23.75</v>
      </c>
      <c r="J290" s="206">
        <v>88.501999999999995</v>
      </c>
      <c r="K290" s="206">
        <v>108.35</v>
      </c>
      <c r="L290" s="207">
        <v>5.0000000000000001E-4</v>
      </c>
      <c r="M290" s="207">
        <v>0.1056</v>
      </c>
      <c r="N290" s="207">
        <v>6.1199999999999997E-2</v>
      </c>
      <c r="O290" s="199">
        <v>1139</v>
      </c>
      <c r="P290" s="692"/>
      <c r="Q290" s="692"/>
      <c r="R290" s="692"/>
      <c r="S290" s="301">
        <v>84611</v>
      </c>
      <c r="T290" s="115"/>
      <c r="U290" s="115"/>
      <c r="V290" s="115"/>
      <c r="W290" s="125">
        <v>792.7</v>
      </c>
      <c r="X290" s="125">
        <v>603.70000000000005</v>
      </c>
      <c r="Y290" s="125"/>
    </row>
    <row r="291" spans="1:32">
      <c r="A291" s="152">
        <v>44962</v>
      </c>
      <c r="B291" s="152"/>
      <c r="C291" s="700" t="s">
        <v>616</v>
      </c>
      <c r="D291" s="692">
        <v>21.66</v>
      </c>
      <c r="E291" s="692">
        <v>23.63</v>
      </c>
      <c r="F291" s="692">
        <v>21.44</v>
      </c>
      <c r="G291" s="692">
        <v>24.89</v>
      </c>
      <c r="H291" s="692">
        <v>24.15</v>
      </c>
      <c r="I291" s="692">
        <v>23.75</v>
      </c>
      <c r="J291" s="206">
        <v>69.2</v>
      </c>
      <c r="K291" s="206">
        <v>102.898</v>
      </c>
      <c r="L291" s="207">
        <v>5.0000000000000001E-4</v>
      </c>
      <c r="M291" s="207">
        <v>0.1057</v>
      </c>
      <c r="N291" s="207">
        <v>6.1199999999999997E-2</v>
      </c>
      <c r="O291" s="199">
        <v>1149</v>
      </c>
      <c r="P291" s="692"/>
      <c r="Q291" s="692"/>
      <c r="R291" s="204">
        <v>3.4596040000000001</v>
      </c>
      <c r="S291" s="301">
        <v>85435</v>
      </c>
      <c r="T291" s="115"/>
      <c r="U291" s="115"/>
      <c r="V291" s="115"/>
      <c r="W291" s="125">
        <v>219</v>
      </c>
      <c r="X291" s="125">
        <v>933</v>
      </c>
      <c r="Y291" s="125"/>
    </row>
    <row r="292" spans="1:32" ht="42">
      <c r="A292" s="152">
        <v>44962</v>
      </c>
      <c r="B292" s="152"/>
      <c r="C292" s="700" t="s">
        <v>651</v>
      </c>
      <c r="D292" s="692">
        <v>21.66</v>
      </c>
      <c r="E292" s="692">
        <v>23.63</v>
      </c>
      <c r="F292" s="692">
        <v>21.44</v>
      </c>
      <c r="G292" s="692">
        <v>24.89</v>
      </c>
      <c r="H292" s="692">
        <v>24.15</v>
      </c>
      <c r="I292" s="692">
        <v>23.75</v>
      </c>
      <c r="J292" s="206">
        <v>100.5</v>
      </c>
      <c r="K292" s="206">
        <v>100.9</v>
      </c>
      <c r="L292" s="207">
        <v>5.0000000000000001E-4</v>
      </c>
      <c r="M292" s="207">
        <v>0.1057</v>
      </c>
      <c r="N292" s="207">
        <v>6.1199999999999997E-2</v>
      </c>
      <c r="O292" s="199">
        <v>1145</v>
      </c>
      <c r="P292" s="692"/>
      <c r="Q292" s="692"/>
      <c r="R292" s="208"/>
      <c r="S292" s="301">
        <v>3719</v>
      </c>
      <c r="T292" s="115"/>
      <c r="U292" s="115"/>
      <c r="V292" s="115"/>
      <c r="W292" s="125">
        <v>792</v>
      </c>
      <c r="X292" s="125">
        <v>612</v>
      </c>
      <c r="Y292" s="125"/>
      <c r="AA292" s="121" t="s">
        <v>652</v>
      </c>
    </row>
    <row r="293" spans="1:32">
      <c r="A293" s="152">
        <v>44962</v>
      </c>
      <c r="B293" s="152"/>
      <c r="C293" s="700" t="s">
        <v>653</v>
      </c>
      <c r="D293" s="692">
        <v>21.66</v>
      </c>
      <c r="E293" s="692">
        <v>23.63</v>
      </c>
      <c r="F293" s="692">
        <v>21.44</v>
      </c>
      <c r="G293" s="692">
        <v>24.89</v>
      </c>
      <c r="H293" s="692">
        <v>24.15</v>
      </c>
      <c r="I293" s="692">
        <v>23.75</v>
      </c>
      <c r="J293" s="206">
        <v>92.911000000000001</v>
      </c>
      <c r="K293" s="206">
        <v>144.9</v>
      </c>
      <c r="L293" s="207">
        <v>1.1999999999999999E-3</v>
      </c>
      <c r="M293" s="207">
        <v>0.10539999999999999</v>
      </c>
      <c r="N293" s="207">
        <v>6.13E-2</v>
      </c>
      <c r="O293" s="199">
        <v>1134</v>
      </c>
      <c r="P293" s="692"/>
      <c r="Q293" s="692"/>
      <c r="R293" s="204">
        <v>3.4676260000000001</v>
      </c>
      <c r="S293" s="301">
        <v>4541</v>
      </c>
      <c r="T293" s="115"/>
      <c r="U293" s="115"/>
      <c r="V293" s="115"/>
      <c r="W293" s="125">
        <v>217</v>
      </c>
      <c r="X293" s="125">
        <v>932</v>
      </c>
      <c r="Y293" s="125"/>
      <c r="AA293" s="115"/>
    </row>
    <row r="294" spans="1:32" ht="42">
      <c r="A294" s="152">
        <v>44962</v>
      </c>
      <c r="B294" s="152"/>
      <c r="C294" s="700" t="s">
        <v>654</v>
      </c>
      <c r="D294" s="692">
        <v>21.66</v>
      </c>
      <c r="E294" s="692">
        <v>23.63</v>
      </c>
      <c r="F294" s="692">
        <v>21.44</v>
      </c>
      <c r="G294" s="692">
        <v>24.89</v>
      </c>
      <c r="H294" s="692">
        <v>24.15</v>
      </c>
      <c r="I294" s="692">
        <v>23.75</v>
      </c>
      <c r="J294" s="206">
        <v>125.5</v>
      </c>
      <c r="K294" s="206">
        <v>143.19999999999999</v>
      </c>
      <c r="L294" s="207">
        <v>5.0000000000000001E-4</v>
      </c>
      <c r="M294" s="207">
        <v>0.106</v>
      </c>
      <c r="N294" s="207">
        <v>6.0999999999999999E-2</v>
      </c>
      <c r="O294" s="199">
        <v>1142</v>
      </c>
      <c r="P294" s="692"/>
      <c r="Q294" s="692"/>
      <c r="R294" s="208"/>
      <c r="S294" s="301">
        <v>11744</v>
      </c>
      <c r="T294" s="115"/>
      <c r="U294" s="115"/>
      <c r="V294" s="115"/>
      <c r="W294" s="125">
        <v>806</v>
      </c>
      <c r="X294" s="125">
        <v>624</v>
      </c>
      <c r="Y294" s="125"/>
      <c r="AA294" s="121" t="s">
        <v>652</v>
      </c>
    </row>
    <row r="295" spans="1:32">
      <c r="A295" s="152">
        <v>44962</v>
      </c>
      <c r="B295" s="152"/>
      <c r="C295" s="700" t="s">
        <v>34</v>
      </c>
      <c r="D295" s="692">
        <v>21.66</v>
      </c>
      <c r="E295" s="692">
        <v>23.63</v>
      </c>
      <c r="F295" s="692">
        <v>21.44</v>
      </c>
      <c r="G295" s="692">
        <v>24.89</v>
      </c>
      <c r="H295" s="692">
        <v>24.15</v>
      </c>
      <c r="I295" s="692">
        <v>23.75</v>
      </c>
      <c r="J295" s="206">
        <v>-76.099999999999994</v>
      </c>
      <c r="K295" s="206">
        <v>125.7</v>
      </c>
      <c r="L295" s="207">
        <v>0</v>
      </c>
      <c r="M295" s="207">
        <v>9.3170000000000003E-2</v>
      </c>
      <c r="N295" s="207">
        <v>6.0630000000000003E-2</v>
      </c>
      <c r="O295" s="197" t="s">
        <v>60</v>
      </c>
      <c r="P295" s="692"/>
      <c r="Q295" s="692"/>
      <c r="R295" s="692"/>
      <c r="S295" s="301">
        <v>12504</v>
      </c>
      <c r="T295" s="115"/>
      <c r="U295" s="202">
        <v>5.9999999999999995E-4</v>
      </c>
      <c r="V295" s="202">
        <v>1.4E-3</v>
      </c>
      <c r="W295" s="115"/>
      <c r="X295" s="115"/>
      <c r="Y295" s="115"/>
      <c r="AA295" s="115"/>
    </row>
    <row r="296" spans="1:32">
      <c r="A296" s="152">
        <v>44962</v>
      </c>
      <c r="B296" s="152"/>
      <c r="C296" s="700" t="s">
        <v>646</v>
      </c>
      <c r="D296" s="692">
        <v>21.66</v>
      </c>
      <c r="E296" s="692">
        <v>23.63</v>
      </c>
      <c r="F296" s="692">
        <v>21.44</v>
      </c>
      <c r="G296" s="692">
        <v>24.89</v>
      </c>
      <c r="H296" s="692">
        <v>24.15</v>
      </c>
      <c r="I296" s="692">
        <v>23.75</v>
      </c>
      <c r="J296" s="206">
        <v>-60.601199999999999</v>
      </c>
      <c r="K296" s="206">
        <v>108.3</v>
      </c>
      <c r="L296" s="207">
        <v>8.0000000000000004E-4</v>
      </c>
      <c r="M296" s="207">
        <v>9.2600000000000002E-2</v>
      </c>
      <c r="N296" s="207">
        <v>6.0630000000000003E-2</v>
      </c>
      <c r="O296" s="199">
        <v>1136</v>
      </c>
      <c r="P296" s="692"/>
      <c r="Q296" s="692"/>
      <c r="R296" s="692"/>
      <c r="S296" s="301">
        <v>14219</v>
      </c>
      <c r="T296" s="115"/>
      <c r="U296" s="115"/>
      <c r="V296" s="115"/>
      <c r="W296" s="125">
        <v>792</v>
      </c>
      <c r="X296" s="125">
        <v>603.9</v>
      </c>
      <c r="Y296" s="125"/>
      <c r="AA296" s="115"/>
    </row>
    <row r="297" spans="1:32">
      <c r="A297" s="152">
        <v>44962</v>
      </c>
      <c r="B297" s="152"/>
      <c r="C297" s="700" t="s">
        <v>647</v>
      </c>
      <c r="D297" s="692">
        <v>21.66</v>
      </c>
      <c r="E297" s="692">
        <v>23.63</v>
      </c>
      <c r="F297" s="692">
        <v>21.44</v>
      </c>
      <c r="G297" s="692">
        <v>24.89</v>
      </c>
      <c r="H297" s="692">
        <v>24.15</v>
      </c>
      <c r="I297" s="692">
        <v>23.75</v>
      </c>
      <c r="J297" s="206">
        <v>-103.995</v>
      </c>
      <c r="K297" s="206">
        <v>102.7</v>
      </c>
      <c r="L297" s="207">
        <v>5.0000000000000001E-4</v>
      </c>
      <c r="M297" s="207">
        <v>9.2700000000000005E-2</v>
      </c>
      <c r="N297" s="207">
        <v>6.13E-2</v>
      </c>
      <c r="O297" s="199">
        <v>1141</v>
      </c>
      <c r="P297" s="692"/>
      <c r="Q297" s="692"/>
      <c r="R297" s="204">
        <v>3.459597</v>
      </c>
      <c r="S297" s="301">
        <v>15426</v>
      </c>
      <c r="T297" s="115"/>
      <c r="U297" s="115"/>
      <c r="V297" s="115"/>
      <c r="W297" s="125">
        <v>215</v>
      </c>
      <c r="X297" s="125">
        <v>933</v>
      </c>
      <c r="Y297" s="125"/>
      <c r="AA297" s="115"/>
    </row>
    <row r="298" spans="1:32" ht="62.45">
      <c r="A298" s="152">
        <v>44962</v>
      </c>
      <c r="B298" s="152"/>
      <c r="C298" s="700" t="s">
        <v>655</v>
      </c>
      <c r="D298" s="692">
        <v>21.66</v>
      </c>
      <c r="E298" s="692">
        <v>23.63</v>
      </c>
      <c r="F298" s="692">
        <v>21.44</v>
      </c>
      <c r="G298" s="692">
        <v>24.89</v>
      </c>
      <c r="H298" s="692">
        <v>24.15</v>
      </c>
      <c r="I298" s="692">
        <v>23.75</v>
      </c>
      <c r="J298" s="695"/>
      <c r="K298" s="695"/>
      <c r="L298" s="209"/>
      <c r="M298" s="209"/>
      <c r="N298" s="209"/>
      <c r="O298" s="168"/>
      <c r="P298" s="692"/>
      <c r="Q298" s="692"/>
      <c r="R298" s="208"/>
      <c r="S298" s="301"/>
      <c r="T298" s="115"/>
      <c r="U298" s="115"/>
      <c r="V298" s="115"/>
      <c r="W298" s="125"/>
      <c r="X298" s="125"/>
      <c r="Y298" s="125"/>
      <c r="AA298" s="210" t="s">
        <v>656</v>
      </c>
    </row>
    <row r="299" spans="1:32">
      <c r="A299" s="152">
        <v>44962</v>
      </c>
      <c r="B299" s="152"/>
      <c r="C299" s="700" t="s">
        <v>657</v>
      </c>
      <c r="D299" s="692">
        <v>21.66</v>
      </c>
      <c r="E299" s="692">
        <v>23.63</v>
      </c>
      <c r="F299" s="692">
        <v>21.44</v>
      </c>
      <c r="G299" s="692">
        <v>24.89</v>
      </c>
      <c r="H299" s="692">
        <v>24.15</v>
      </c>
      <c r="I299" s="692">
        <v>23.75</v>
      </c>
      <c r="J299" s="206"/>
      <c r="K299" s="206"/>
      <c r="L299" s="207"/>
      <c r="M299" s="207"/>
      <c r="N299" s="207"/>
      <c r="O299" s="199"/>
      <c r="P299" s="692"/>
      <c r="Q299" s="692"/>
      <c r="R299" s="204"/>
      <c r="S299" s="301"/>
      <c r="T299" s="115"/>
      <c r="U299" s="115"/>
      <c r="V299" s="115"/>
      <c r="W299" s="125"/>
      <c r="X299" s="125"/>
      <c r="Y299" s="125"/>
      <c r="AA299" s="115" t="s">
        <v>658</v>
      </c>
    </row>
    <row r="300" spans="1:32" ht="20.45">
      <c r="A300" s="152">
        <v>44962</v>
      </c>
      <c r="B300" s="152"/>
      <c r="C300" s="700" t="s">
        <v>659</v>
      </c>
      <c r="D300" s="692">
        <v>21.66</v>
      </c>
      <c r="E300" s="692">
        <v>23.63</v>
      </c>
      <c r="F300" s="692">
        <v>21.44</v>
      </c>
      <c r="G300" s="692">
        <v>24.89</v>
      </c>
      <c r="H300" s="692">
        <v>24.15</v>
      </c>
      <c r="I300" s="692">
        <v>23.75</v>
      </c>
      <c r="J300" s="206"/>
      <c r="K300" s="206"/>
      <c r="L300" s="207"/>
      <c r="M300" s="207"/>
      <c r="N300" s="207"/>
      <c r="O300" s="199"/>
      <c r="P300" s="692"/>
      <c r="Q300" s="692"/>
      <c r="R300" s="208"/>
      <c r="S300" s="301"/>
      <c r="T300" s="115"/>
      <c r="U300" s="115"/>
      <c r="V300" s="115"/>
      <c r="W300" s="125"/>
      <c r="X300" s="125"/>
      <c r="Y300" s="125"/>
      <c r="AA300" s="121"/>
    </row>
    <row r="301" spans="1:32" ht="21.6">
      <c r="A301" s="126" t="s">
        <v>0</v>
      </c>
      <c r="B301" s="126"/>
      <c r="C301" s="272" t="s">
        <v>375</v>
      </c>
      <c r="D301" s="750" t="s">
        <v>6</v>
      </c>
      <c r="E301" s="750"/>
      <c r="F301" s="750" t="s">
        <v>7</v>
      </c>
      <c r="G301" s="750"/>
      <c r="H301" s="750" t="s">
        <v>8</v>
      </c>
      <c r="I301" s="750"/>
      <c r="J301" s="696" t="s">
        <v>629</v>
      </c>
      <c r="K301" s="696" t="s">
        <v>630</v>
      </c>
      <c r="L301" s="696" t="s">
        <v>631</v>
      </c>
      <c r="M301" s="696" t="s">
        <v>632</v>
      </c>
      <c r="N301" s="696" t="s">
        <v>633</v>
      </c>
      <c r="O301" s="696" t="s">
        <v>14</v>
      </c>
      <c r="P301" s="696" t="s">
        <v>595</v>
      </c>
      <c r="Q301" s="696" t="s">
        <v>15</v>
      </c>
      <c r="R301" s="696" t="s">
        <v>16</v>
      </c>
      <c r="S301" s="303" t="s">
        <v>17</v>
      </c>
      <c r="T301" s="126" t="s">
        <v>419</v>
      </c>
      <c r="U301" s="203" t="s">
        <v>420</v>
      </c>
      <c r="V301" s="203" t="s">
        <v>421</v>
      </c>
      <c r="W301" s="126" t="s">
        <v>422</v>
      </c>
      <c r="X301" s="126" t="s">
        <v>423</v>
      </c>
      <c r="Y301" s="126"/>
    </row>
    <row r="302" spans="1:32">
      <c r="A302" s="152">
        <v>44963</v>
      </c>
      <c r="B302" s="152"/>
      <c r="C302" s="700" t="s">
        <v>647</v>
      </c>
      <c r="D302" s="692">
        <v>21.66</v>
      </c>
      <c r="E302" s="692">
        <v>23.63</v>
      </c>
      <c r="F302" s="692">
        <v>21.44</v>
      </c>
      <c r="G302" s="692">
        <v>24.89</v>
      </c>
      <c r="H302" s="692">
        <v>24.15</v>
      </c>
      <c r="I302" s="692">
        <v>23.75</v>
      </c>
      <c r="J302" s="692">
        <v>-104</v>
      </c>
      <c r="K302" s="692">
        <v>102.7</v>
      </c>
      <c r="L302" s="692"/>
      <c r="M302" s="692">
        <v>9.2999999999999999E-2</v>
      </c>
      <c r="N302" s="692">
        <v>6.0999999999999999E-2</v>
      </c>
      <c r="O302" s="168">
        <v>1140</v>
      </c>
      <c r="P302" s="692"/>
      <c r="Q302" s="692"/>
      <c r="R302" s="692"/>
      <c r="S302" s="291">
        <v>13108</v>
      </c>
      <c r="T302" s="115"/>
      <c r="U302" s="115"/>
      <c r="V302" s="115"/>
      <c r="W302" s="115">
        <v>214</v>
      </c>
      <c r="X302" s="115">
        <v>935</v>
      </c>
      <c r="Y302" s="115"/>
      <c r="AA302" s="115">
        <f>SQRT((W303-W302)^2+(X303-X302)^2)</f>
        <v>51.312766442669997</v>
      </c>
      <c r="AB302" s="164">
        <f>AA302/2.5</f>
        <v>20.525106577067998</v>
      </c>
      <c r="AC302" s="753" t="s">
        <v>660</v>
      </c>
      <c r="AD302" s="753"/>
      <c r="AE302" s="753"/>
      <c r="AF302" s="753"/>
    </row>
    <row r="303" spans="1:32">
      <c r="A303" s="152">
        <v>44963</v>
      </c>
      <c r="B303" s="152"/>
      <c r="C303" s="700"/>
      <c r="D303" s="692">
        <v>21.66</v>
      </c>
      <c r="E303" s="692">
        <v>23.63</v>
      </c>
      <c r="F303" s="692">
        <v>21.44</v>
      </c>
      <c r="G303" s="692">
        <v>24.89</v>
      </c>
      <c r="H303" s="692">
        <v>24.15</v>
      </c>
      <c r="I303" s="692">
        <v>23.75</v>
      </c>
      <c r="J303" s="692">
        <v>-106.5</v>
      </c>
      <c r="K303" s="692">
        <v>102.7</v>
      </c>
      <c r="L303" s="692"/>
      <c r="M303" s="692">
        <v>9.2999999999999999E-2</v>
      </c>
      <c r="N303" s="692">
        <v>6.0999999999999999E-2</v>
      </c>
      <c r="O303" s="692"/>
      <c r="P303" s="692"/>
      <c r="Q303" s="692"/>
      <c r="R303" s="692"/>
      <c r="S303" s="291">
        <v>14220</v>
      </c>
      <c r="T303" s="115"/>
      <c r="U303" s="115"/>
      <c r="V303" s="115"/>
      <c r="W303" s="115">
        <v>171</v>
      </c>
      <c r="X303" s="115">
        <v>963</v>
      </c>
      <c r="Y303" s="115"/>
      <c r="Z303" s="163">
        <f>(800-W303)/AB302</f>
        <v>30.645395074477239</v>
      </c>
      <c r="AA303" s="115">
        <f>(600-X303)/AB302</f>
        <v>-17.685657252838215</v>
      </c>
      <c r="AB303" s="177" t="s">
        <v>661</v>
      </c>
      <c r="AC303" s="697" t="s">
        <v>662</v>
      </c>
      <c r="AD303" s="697" t="s">
        <v>663</v>
      </c>
      <c r="AE303" s="697" t="s">
        <v>664</v>
      </c>
      <c r="AF303" s="697" t="s">
        <v>287</v>
      </c>
    </row>
    <row r="304" spans="1:32" ht="51">
      <c r="A304" s="152">
        <v>44963</v>
      </c>
      <c r="B304" s="152"/>
      <c r="C304" s="700" t="s">
        <v>665</v>
      </c>
      <c r="D304" s="692">
        <v>21.66</v>
      </c>
      <c r="E304" s="692">
        <v>23.63</v>
      </c>
      <c r="F304" s="692">
        <v>21.44</v>
      </c>
      <c r="G304" s="692">
        <v>24.89</v>
      </c>
      <c r="H304" s="692">
        <v>24.4</v>
      </c>
      <c r="I304" s="692">
        <v>23.45</v>
      </c>
      <c r="J304" s="692">
        <v>-71.86</v>
      </c>
      <c r="K304" s="692">
        <v>100</v>
      </c>
      <c r="L304" s="692"/>
      <c r="M304" s="692">
        <v>9.2999999999999999E-2</v>
      </c>
      <c r="N304" s="692">
        <v>6.0999999999999999E-2</v>
      </c>
      <c r="O304" s="168">
        <v>1140</v>
      </c>
      <c r="P304" s="692"/>
      <c r="Q304" s="692"/>
      <c r="R304" s="692"/>
      <c r="S304" s="291">
        <v>41128</v>
      </c>
      <c r="T304" s="115"/>
      <c r="U304" s="115"/>
      <c r="V304" s="115"/>
      <c r="W304" s="115">
        <v>800</v>
      </c>
      <c r="X304" s="115">
        <v>600</v>
      </c>
      <c r="Y304" s="115"/>
      <c r="Z304" s="163">
        <f>J302+35.4</f>
        <v>-68.599999999999994</v>
      </c>
      <c r="AA304" s="115">
        <f>SQRT((W304-W302)^2+(X304-X302)^2)</f>
        <v>674.99703703053399</v>
      </c>
      <c r="AB304" s="120">
        <f>AA304/SQRT((J304-J302)^2+(K304-K302)^2)</f>
        <v>20.92805716174227</v>
      </c>
      <c r="AC304" s="697">
        <f>H304-H302</f>
        <v>0.25</v>
      </c>
      <c r="AD304" s="697">
        <f>I304-I302</f>
        <v>-0.30000000000000071</v>
      </c>
      <c r="AE304" s="697">
        <f>J304-J302</f>
        <v>32.14</v>
      </c>
      <c r="AF304" s="697">
        <f>K304-K302</f>
        <v>-2.7000000000000028</v>
      </c>
    </row>
    <row r="305" spans="1:28" ht="30.6">
      <c r="A305" s="152">
        <v>44963</v>
      </c>
      <c r="B305" s="152"/>
      <c r="C305" s="700" t="s">
        <v>666</v>
      </c>
      <c r="D305" s="692">
        <v>21.66</v>
      </c>
      <c r="E305" s="692">
        <v>23.63</v>
      </c>
      <c r="F305" s="692">
        <v>21.44</v>
      </c>
      <c r="G305" s="692">
        <v>24.89</v>
      </c>
      <c r="H305" s="692">
        <v>24.4</v>
      </c>
      <c r="I305" s="692">
        <v>23.45</v>
      </c>
      <c r="J305" s="692">
        <v>-71.86</v>
      </c>
      <c r="K305" s="692">
        <v>100</v>
      </c>
      <c r="L305" s="692"/>
      <c r="M305" s="692">
        <v>9.2999999999999999E-2</v>
      </c>
      <c r="N305" s="692">
        <v>6.0999999999999999E-2</v>
      </c>
      <c r="O305" s="168">
        <v>1143</v>
      </c>
      <c r="P305" s="692"/>
      <c r="Q305" s="692"/>
      <c r="R305" s="692"/>
      <c r="S305" s="291">
        <v>41549</v>
      </c>
      <c r="T305" s="115"/>
      <c r="U305" s="115"/>
      <c r="V305" s="115"/>
      <c r="W305" s="115">
        <v>802</v>
      </c>
      <c r="X305" s="115">
        <v>598</v>
      </c>
      <c r="Y305" s="115"/>
      <c r="Z305" s="163">
        <f>K302-1.6</f>
        <v>101.10000000000001</v>
      </c>
      <c r="AA305" s="115"/>
    </row>
    <row r="306" spans="1:28" ht="20.45">
      <c r="A306" s="152">
        <v>44963</v>
      </c>
      <c r="B306" s="152"/>
      <c r="C306" s="700" t="s">
        <v>667</v>
      </c>
      <c r="D306" s="692">
        <v>21.66</v>
      </c>
      <c r="E306" s="692">
        <v>23.63</v>
      </c>
      <c r="F306" s="692">
        <v>21.44</v>
      </c>
      <c r="G306" s="692">
        <v>24.89</v>
      </c>
      <c r="H306" s="692">
        <v>24.4</v>
      </c>
      <c r="I306" s="692">
        <v>23.45</v>
      </c>
      <c r="J306" s="692">
        <v>101</v>
      </c>
      <c r="K306" s="692">
        <v>100.2</v>
      </c>
      <c r="L306" s="692"/>
      <c r="M306" s="692">
        <v>0.106</v>
      </c>
      <c r="N306" s="692">
        <v>0.06</v>
      </c>
      <c r="O306" s="168">
        <v>1143</v>
      </c>
      <c r="P306" s="692"/>
      <c r="Q306" s="692"/>
      <c r="R306" s="692"/>
      <c r="S306" s="291">
        <v>44536</v>
      </c>
      <c r="T306" s="115"/>
      <c r="U306" s="115"/>
      <c r="V306" s="115"/>
      <c r="W306" s="115">
        <v>800</v>
      </c>
      <c r="X306" s="115">
        <v>600</v>
      </c>
      <c r="Y306" s="115"/>
      <c r="AA306" s="115"/>
    </row>
    <row r="307" spans="1:28" ht="30.6">
      <c r="A307" s="152">
        <v>44963</v>
      </c>
      <c r="B307" s="152"/>
      <c r="C307" s="700" t="s">
        <v>668</v>
      </c>
      <c r="D307" s="692">
        <v>21.66</v>
      </c>
      <c r="E307" s="692">
        <v>23.63</v>
      </c>
      <c r="F307" s="692">
        <v>21.44</v>
      </c>
      <c r="G307" s="692">
        <v>24.89</v>
      </c>
      <c r="H307" s="692">
        <v>24.15</v>
      </c>
      <c r="I307" s="692">
        <v>23.75</v>
      </c>
      <c r="J307" s="692">
        <v>69.2</v>
      </c>
      <c r="K307" s="692">
        <v>102.9</v>
      </c>
      <c r="L307" s="692"/>
      <c r="M307" s="692">
        <v>0.106</v>
      </c>
      <c r="N307" s="692">
        <v>0.06</v>
      </c>
      <c r="O307" s="168">
        <v>1143</v>
      </c>
      <c r="P307" s="692"/>
      <c r="Q307" s="692"/>
      <c r="R307" s="692"/>
      <c r="S307" s="291">
        <v>45223</v>
      </c>
      <c r="T307" s="115"/>
      <c r="U307" s="115"/>
      <c r="V307" s="115"/>
      <c r="W307" s="115">
        <v>214</v>
      </c>
      <c r="X307" s="115">
        <v>932</v>
      </c>
      <c r="Y307" s="115"/>
      <c r="AA307" s="115"/>
    </row>
    <row r="308" spans="1:28">
      <c r="A308" s="152">
        <v>44963</v>
      </c>
      <c r="B308" s="152"/>
      <c r="C308" s="700" t="s">
        <v>669</v>
      </c>
      <c r="D308" s="692">
        <v>21.66</v>
      </c>
      <c r="E308" s="692">
        <v>23.63</v>
      </c>
      <c r="F308" s="692">
        <v>21.44</v>
      </c>
      <c r="G308" s="692">
        <v>24.89</v>
      </c>
      <c r="H308" s="692">
        <v>24.12</v>
      </c>
      <c r="I308" s="692">
        <v>23.77</v>
      </c>
      <c r="J308" s="692">
        <v>-2150</v>
      </c>
      <c r="K308" s="692">
        <v>-65</v>
      </c>
      <c r="L308" s="692"/>
      <c r="M308" s="692">
        <v>0</v>
      </c>
      <c r="N308" s="692">
        <v>0</v>
      </c>
      <c r="O308" s="692" t="s">
        <v>313</v>
      </c>
      <c r="P308" s="692"/>
      <c r="Q308" s="692">
        <v>43</v>
      </c>
      <c r="R308" s="692">
        <v>4.0322779999999998</v>
      </c>
      <c r="S308" s="291">
        <v>55910</v>
      </c>
      <c r="T308" s="115"/>
      <c r="U308" s="115"/>
      <c r="V308" s="115"/>
      <c r="W308" s="115">
        <v>146</v>
      </c>
      <c r="X308" s="115">
        <v>1046</v>
      </c>
      <c r="Y308" s="115"/>
      <c r="Z308" s="163">
        <f>R308-R288</f>
        <v>5.8000000000113516E-5</v>
      </c>
      <c r="AA308" s="115"/>
    </row>
    <row r="309" spans="1:28">
      <c r="A309" s="152">
        <v>44963</v>
      </c>
      <c r="B309" s="152"/>
      <c r="C309" s="700" t="s">
        <v>670</v>
      </c>
      <c r="D309" s="692">
        <v>21.66</v>
      </c>
      <c r="E309" s="692">
        <v>23.63</v>
      </c>
      <c r="F309" s="692">
        <v>21.44</v>
      </c>
      <c r="G309" s="692">
        <v>24.89</v>
      </c>
      <c r="H309" s="692">
        <v>24.62</v>
      </c>
      <c r="I309" s="692">
        <v>23.25</v>
      </c>
      <c r="J309" s="692">
        <v>-2150</v>
      </c>
      <c r="K309" s="692">
        <v>-65</v>
      </c>
      <c r="L309" s="692"/>
      <c r="M309" s="692">
        <v>0</v>
      </c>
      <c r="N309" s="692">
        <v>0</v>
      </c>
      <c r="O309" s="692" t="s">
        <v>671</v>
      </c>
      <c r="P309" s="692"/>
      <c r="Q309" s="692">
        <v>21</v>
      </c>
      <c r="R309" s="692">
        <v>4.7631389999999998</v>
      </c>
      <c r="S309" s="291">
        <v>63201</v>
      </c>
      <c r="T309" s="115"/>
      <c r="U309" s="115"/>
      <c r="V309" s="115"/>
      <c r="W309" s="115">
        <v>1278</v>
      </c>
      <c r="X309" s="115">
        <v>220</v>
      </c>
      <c r="Y309" s="115"/>
      <c r="AA309" s="115"/>
    </row>
    <row r="310" spans="1:28" ht="21.6">
      <c r="A310" s="126" t="s">
        <v>0</v>
      </c>
      <c r="B310" s="126"/>
      <c r="C310" s="272" t="s">
        <v>375</v>
      </c>
      <c r="D310" s="750" t="s">
        <v>6</v>
      </c>
      <c r="E310" s="750"/>
      <c r="F310" s="750" t="s">
        <v>7</v>
      </c>
      <c r="G310" s="750"/>
      <c r="H310" s="750" t="s">
        <v>8</v>
      </c>
      <c r="I310" s="750"/>
      <c r="J310" s="696" t="s">
        <v>629</v>
      </c>
      <c r="K310" s="696" t="s">
        <v>630</v>
      </c>
      <c r="L310" s="696" t="s">
        <v>631</v>
      </c>
      <c r="M310" s="696" t="s">
        <v>632</v>
      </c>
      <c r="N310" s="696" t="s">
        <v>633</v>
      </c>
      <c r="O310" s="696" t="s">
        <v>14</v>
      </c>
      <c r="P310" s="696" t="s">
        <v>595</v>
      </c>
      <c r="Q310" s="696" t="s">
        <v>15</v>
      </c>
      <c r="R310" s="696" t="s">
        <v>16</v>
      </c>
      <c r="S310" s="303" t="s">
        <v>17</v>
      </c>
      <c r="T310" s="126" t="s">
        <v>419</v>
      </c>
      <c r="U310" s="203" t="s">
        <v>420</v>
      </c>
      <c r="V310" s="203" t="s">
        <v>421</v>
      </c>
      <c r="W310" s="126" t="s">
        <v>422</v>
      </c>
      <c r="X310" s="126" t="s">
        <v>423</v>
      </c>
      <c r="Y310" s="126"/>
    </row>
    <row r="311" spans="1:28">
      <c r="A311" s="152">
        <v>44964</v>
      </c>
      <c r="B311" s="152"/>
      <c r="C311" s="700" t="s">
        <v>670</v>
      </c>
      <c r="D311" s="692">
        <v>21.66</v>
      </c>
      <c r="E311" s="692">
        <v>23.63</v>
      </c>
      <c r="F311" s="692">
        <v>21.44</v>
      </c>
      <c r="G311" s="692">
        <v>24.89</v>
      </c>
      <c r="H311" s="692">
        <v>24.62</v>
      </c>
      <c r="I311" s="692">
        <v>23.25</v>
      </c>
      <c r="J311" s="692"/>
      <c r="K311" s="692"/>
      <c r="L311" s="692"/>
      <c r="M311" s="692"/>
      <c r="N311" s="692"/>
      <c r="O311" s="692" t="s">
        <v>671</v>
      </c>
      <c r="P311" s="692"/>
      <c r="Q311" s="692"/>
      <c r="R311" s="692">
        <v>4.7631860000000001</v>
      </c>
      <c r="S311" s="291">
        <v>11639</v>
      </c>
      <c r="T311" s="115"/>
      <c r="U311" s="115"/>
      <c r="V311" s="115"/>
      <c r="W311" s="115">
        <v>1285</v>
      </c>
      <c r="X311" s="115">
        <v>214</v>
      </c>
      <c r="Y311" s="115"/>
      <c r="AA311" s="115"/>
    </row>
    <row r="312" spans="1:28">
      <c r="A312" s="152">
        <v>44964</v>
      </c>
      <c r="B312" s="152"/>
      <c r="C312" s="700" t="s">
        <v>669</v>
      </c>
      <c r="D312" s="692">
        <v>21.66</v>
      </c>
      <c r="E312" s="692">
        <v>23.63</v>
      </c>
      <c r="F312" s="692">
        <v>21.44</v>
      </c>
      <c r="G312" s="692">
        <v>24.89</v>
      </c>
      <c r="H312" s="692">
        <v>24.12</v>
      </c>
      <c r="I312" s="692">
        <v>23.77</v>
      </c>
      <c r="J312" s="692"/>
      <c r="K312" s="692"/>
      <c r="L312" s="692"/>
      <c r="M312" s="692"/>
      <c r="N312" s="692"/>
      <c r="O312" s="692" t="s">
        <v>313</v>
      </c>
      <c r="P312" s="692"/>
      <c r="Q312" s="692"/>
      <c r="R312" s="692">
        <v>4.0322959999999997</v>
      </c>
      <c r="S312" s="291">
        <v>12030</v>
      </c>
      <c r="T312" s="115"/>
      <c r="U312" s="115"/>
      <c r="V312" s="115"/>
      <c r="W312" s="115">
        <v>145.30000000000001</v>
      </c>
      <c r="X312" s="115">
        <v>1045.5</v>
      </c>
      <c r="Y312" s="115"/>
      <c r="Z312" s="163">
        <f>R312-R308</f>
        <v>1.7999999999851468E-5</v>
      </c>
      <c r="AA312" s="115"/>
    </row>
    <row r="313" spans="1:28">
      <c r="A313" s="152">
        <v>44964</v>
      </c>
      <c r="B313" s="152"/>
      <c r="C313" s="700" t="s">
        <v>672</v>
      </c>
      <c r="D313" s="692">
        <v>21.71</v>
      </c>
      <c r="E313" s="692">
        <v>23.63</v>
      </c>
      <c r="F313" s="692">
        <v>21.44</v>
      </c>
      <c r="G313" s="692">
        <v>25.29</v>
      </c>
      <c r="H313" s="692">
        <v>24.12</v>
      </c>
      <c r="I313" s="692">
        <v>23.77</v>
      </c>
      <c r="J313" s="692"/>
      <c r="K313" s="692"/>
      <c r="L313" s="692"/>
      <c r="M313" s="692"/>
      <c r="N313" s="692"/>
      <c r="O313" s="692"/>
      <c r="P313" s="692"/>
      <c r="Q313" s="692"/>
      <c r="R313" s="692"/>
      <c r="T313" s="115"/>
      <c r="U313" s="115">
        <v>-0.02</v>
      </c>
      <c r="V313" s="115">
        <v>-2.4E-2</v>
      </c>
      <c r="W313" s="115">
        <v>800</v>
      </c>
      <c r="X313" s="115">
        <v>599</v>
      </c>
      <c r="Y313" s="115"/>
      <c r="AA313" s="115"/>
    </row>
    <row r="314" spans="1:28" ht="30.6">
      <c r="A314" s="152">
        <v>44964</v>
      </c>
      <c r="B314" s="152"/>
      <c r="C314" s="700" t="s">
        <v>673</v>
      </c>
      <c r="D314" s="692">
        <v>21.71</v>
      </c>
      <c r="E314" s="692">
        <v>23.42</v>
      </c>
      <c r="F314" s="692">
        <v>21.13</v>
      </c>
      <c r="G314" s="692">
        <v>25.3</v>
      </c>
      <c r="H314" s="692">
        <v>24.12</v>
      </c>
      <c r="I314" s="692">
        <v>23.77</v>
      </c>
      <c r="J314" s="692"/>
      <c r="K314" s="692"/>
      <c r="L314" s="692"/>
      <c r="M314" s="692"/>
      <c r="N314" s="692"/>
      <c r="O314" s="692" t="s">
        <v>51</v>
      </c>
      <c r="P314" s="692"/>
      <c r="Q314" s="692"/>
      <c r="R314" s="692"/>
      <c r="S314" s="291">
        <v>25132</v>
      </c>
      <c r="T314" s="115"/>
      <c r="U314" s="120">
        <v>1E-3</v>
      </c>
      <c r="V314" s="120">
        <v>3.0000000000000001E-3</v>
      </c>
      <c r="W314" s="115"/>
      <c r="X314" s="115"/>
      <c r="Y314" s="115"/>
      <c r="AA314" s="115"/>
    </row>
    <row r="315" spans="1:28">
      <c r="A315" s="152">
        <v>44964</v>
      </c>
      <c r="B315" s="152"/>
      <c r="C315" s="700"/>
      <c r="D315" s="692">
        <v>21.71</v>
      </c>
      <c r="E315" s="692">
        <v>23.42</v>
      </c>
      <c r="F315" s="692">
        <v>21.13</v>
      </c>
      <c r="G315" s="692">
        <v>25.3</v>
      </c>
      <c r="H315" s="692">
        <v>24.12</v>
      </c>
      <c r="I315" s="692">
        <v>23.77</v>
      </c>
      <c r="J315" s="692"/>
      <c r="K315" s="692"/>
      <c r="L315" s="692"/>
      <c r="M315" s="692"/>
      <c r="N315" s="692"/>
      <c r="O315" s="692" t="s">
        <v>313</v>
      </c>
      <c r="P315" s="692"/>
      <c r="Q315" s="692"/>
      <c r="R315" s="692"/>
      <c r="S315" s="291">
        <v>25413</v>
      </c>
      <c r="T315" s="115"/>
      <c r="U315" s="115"/>
      <c r="V315" s="115"/>
      <c r="W315" s="120">
        <v>803</v>
      </c>
      <c r="X315" s="120">
        <v>616</v>
      </c>
      <c r="Y315" s="120"/>
      <c r="AA315" s="115"/>
    </row>
    <row r="316" spans="1:28">
      <c r="A316" s="152">
        <v>44964</v>
      </c>
      <c r="B316" s="152"/>
      <c r="C316" s="700" t="s">
        <v>669</v>
      </c>
      <c r="D316" s="692">
        <v>21.71</v>
      </c>
      <c r="E316" s="692">
        <v>23.42</v>
      </c>
      <c r="F316" s="692">
        <v>21.13</v>
      </c>
      <c r="G316" s="692">
        <v>25.3</v>
      </c>
      <c r="H316" s="692">
        <v>24.12</v>
      </c>
      <c r="I316" s="692">
        <v>23.77</v>
      </c>
      <c r="J316" s="692">
        <v>250</v>
      </c>
      <c r="K316" s="692">
        <v>-65</v>
      </c>
      <c r="L316" s="692">
        <v>-60</v>
      </c>
      <c r="M316" s="692">
        <v>0</v>
      </c>
      <c r="N316" s="692">
        <v>0</v>
      </c>
      <c r="O316" s="692"/>
      <c r="P316" s="692"/>
      <c r="Q316" s="692">
        <v>25</v>
      </c>
      <c r="R316" s="692">
        <v>4.0323260000000003</v>
      </c>
      <c r="S316" s="291">
        <v>30230</v>
      </c>
      <c r="T316" s="115"/>
      <c r="U316" s="115"/>
      <c r="V316" s="115"/>
      <c r="W316" s="115">
        <v>146.4</v>
      </c>
      <c r="X316" s="115">
        <v>1059.5</v>
      </c>
      <c r="Y316" s="115"/>
      <c r="AA316" s="115"/>
    </row>
    <row r="317" spans="1:28">
      <c r="A317" s="152">
        <v>44964</v>
      </c>
      <c r="B317" s="152"/>
      <c r="C317" s="700" t="s">
        <v>674</v>
      </c>
      <c r="D317" s="692">
        <v>21.71</v>
      </c>
      <c r="E317" s="692">
        <v>23.42</v>
      </c>
      <c r="F317" s="692">
        <v>21.13</v>
      </c>
      <c r="G317" s="692">
        <v>25.3</v>
      </c>
      <c r="H317" s="692">
        <v>24.12</v>
      </c>
      <c r="I317" s="692">
        <v>23.77</v>
      </c>
      <c r="J317" s="692">
        <v>101.502</v>
      </c>
      <c r="K317" s="692">
        <v>125.706</v>
      </c>
      <c r="L317" s="692">
        <v>3.0000000000000001E-3</v>
      </c>
      <c r="M317" s="692">
        <v>8.7499999999999994E-2</v>
      </c>
      <c r="N317" s="692">
        <v>5.9799999999999999E-2</v>
      </c>
      <c r="O317" s="211" t="s">
        <v>51</v>
      </c>
      <c r="P317" s="692"/>
      <c r="Q317" s="692"/>
      <c r="R317" s="692"/>
      <c r="S317" s="304">
        <v>33909</v>
      </c>
      <c r="T317" s="115"/>
      <c r="U317" s="212">
        <v>6.4999999999999997E-3</v>
      </c>
      <c r="V317" s="212">
        <v>6.7000000000000002E-3</v>
      </c>
      <c r="W317" s="115"/>
      <c r="X317" s="115"/>
      <c r="Y317" s="115"/>
      <c r="AA317" s="115"/>
    </row>
    <row r="318" spans="1:28">
      <c r="A318" s="152">
        <v>44964</v>
      </c>
      <c r="B318" s="152"/>
      <c r="C318" s="700" t="s">
        <v>615</v>
      </c>
      <c r="D318" s="692">
        <v>21.71</v>
      </c>
      <c r="E318" s="692">
        <v>23.42</v>
      </c>
      <c r="F318" s="692">
        <v>21.13</v>
      </c>
      <c r="G318" s="692">
        <v>25.3</v>
      </c>
      <c r="H318" s="692">
        <v>24.12</v>
      </c>
      <c r="I318" s="692">
        <v>23.77</v>
      </c>
      <c r="J318" s="206">
        <v>88.844499999999996</v>
      </c>
      <c r="K318" s="206">
        <v>108.249</v>
      </c>
      <c r="L318" s="207">
        <v>-1E-3</v>
      </c>
      <c r="M318" s="692">
        <v>8.7499999999999994E-2</v>
      </c>
      <c r="N318" s="692">
        <v>5.9799999999999999E-2</v>
      </c>
      <c r="O318" s="199">
        <v>1128</v>
      </c>
      <c r="P318" s="692"/>
      <c r="Q318" s="692"/>
      <c r="R318" s="692"/>
      <c r="S318" s="301">
        <v>35137</v>
      </c>
      <c r="T318" s="115"/>
      <c r="U318" s="115"/>
      <c r="V318" s="115"/>
      <c r="W318" s="125">
        <v>802</v>
      </c>
      <c r="X318" s="125">
        <v>616</v>
      </c>
      <c r="Y318" s="125"/>
    </row>
    <row r="319" spans="1:28">
      <c r="A319" s="152">
        <v>44964</v>
      </c>
      <c r="B319" s="152"/>
      <c r="C319" s="700" t="s">
        <v>675</v>
      </c>
      <c r="D319" s="692">
        <v>21.71</v>
      </c>
      <c r="E319" s="692">
        <v>23.42</v>
      </c>
      <c r="F319" s="692">
        <v>21.13</v>
      </c>
      <c r="G319" s="692">
        <v>25.3</v>
      </c>
      <c r="H319" s="692">
        <v>24.12</v>
      </c>
      <c r="I319" s="692">
        <v>23.77</v>
      </c>
      <c r="J319" s="692">
        <v>67.697500000000005</v>
      </c>
      <c r="K319" s="692">
        <v>103.398</v>
      </c>
      <c r="L319" s="692">
        <v>-1E-3</v>
      </c>
      <c r="M319" s="692">
        <v>8.7499999999999994E-2</v>
      </c>
      <c r="N319" s="692">
        <v>5.9799999999999999E-2</v>
      </c>
      <c r="O319" s="168">
        <v>1140</v>
      </c>
      <c r="P319" s="692"/>
      <c r="Q319" s="692">
        <v>18</v>
      </c>
      <c r="R319" s="692">
        <v>3.4597370000000001</v>
      </c>
      <c r="S319" s="291">
        <v>40023</v>
      </c>
      <c r="T319" s="115"/>
      <c r="U319" s="115"/>
      <c r="V319" s="115"/>
      <c r="W319" s="115">
        <v>185</v>
      </c>
      <c r="X319" s="115">
        <v>950</v>
      </c>
      <c r="Y319" s="115"/>
      <c r="Z319" s="213">
        <f>R319-R291</f>
        <v>1.3299999999993872E-4</v>
      </c>
      <c r="AA319" s="115"/>
    </row>
    <row r="320" spans="1:28" ht="20.45">
      <c r="A320" s="152">
        <v>44964</v>
      </c>
      <c r="B320" s="152"/>
      <c r="C320" s="700" t="s">
        <v>676</v>
      </c>
      <c r="D320" s="692">
        <v>21.71</v>
      </c>
      <c r="E320" s="692">
        <v>23.42</v>
      </c>
      <c r="F320" s="692">
        <v>21.13</v>
      </c>
      <c r="G320" s="692">
        <v>25.3</v>
      </c>
      <c r="H320" s="692">
        <v>24.4</v>
      </c>
      <c r="I320" s="692">
        <v>23.45</v>
      </c>
      <c r="J320" s="692">
        <v>100.9</v>
      </c>
      <c r="K320" s="692">
        <v>100.4</v>
      </c>
      <c r="L320" s="692">
        <v>-2E-3</v>
      </c>
      <c r="M320" s="692">
        <v>8.7499999999999994E-2</v>
      </c>
      <c r="N320" s="692">
        <v>5.9799999999999999E-2</v>
      </c>
      <c r="O320" s="168">
        <v>1145</v>
      </c>
      <c r="P320" s="692"/>
      <c r="Q320" s="692"/>
      <c r="R320" s="692"/>
      <c r="S320" s="291">
        <v>42600</v>
      </c>
      <c r="T320" s="115"/>
      <c r="U320" s="115"/>
      <c r="V320" s="115"/>
      <c r="W320" s="115">
        <v>798</v>
      </c>
      <c r="X320" s="115">
        <v>614</v>
      </c>
      <c r="Y320" s="115"/>
    </row>
    <row r="321" spans="1:27">
      <c r="A321" s="152">
        <v>44964</v>
      </c>
      <c r="B321" s="152"/>
      <c r="C321" s="700" t="s">
        <v>675</v>
      </c>
      <c r="D321" s="692">
        <v>21.71</v>
      </c>
      <c r="E321" s="692">
        <v>23.42</v>
      </c>
      <c r="F321" s="692">
        <v>21.13</v>
      </c>
      <c r="G321" s="692">
        <v>25.3</v>
      </c>
      <c r="H321" s="692">
        <v>24.12</v>
      </c>
      <c r="I321" s="692">
        <v>23.77</v>
      </c>
      <c r="J321" s="692">
        <v>67.697500000000005</v>
      </c>
      <c r="K321" s="692">
        <v>103.39700000000001</v>
      </c>
      <c r="L321" s="692">
        <v>-1E-3</v>
      </c>
      <c r="M321" s="692">
        <v>8.7499999999999994E-2</v>
      </c>
      <c r="N321" s="692">
        <v>5.9799999999999999E-2</v>
      </c>
      <c r="O321" s="692"/>
      <c r="P321" s="692"/>
      <c r="Q321" s="692"/>
      <c r="R321" s="692">
        <v>3.4597380000000002</v>
      </c>
      <c r="T321" s="115"/>
      <c r="U321" s="115"/>
      <c r="V321" s="115"/>
      <c r="W321" s="115"/>
      <c r="X321" s="115"/>
      <c r="Y321" s="115"/>
      <c r="Z321" s="163">
        <f>R321-R319</f>
        <v>1.000000000139778E-6</v>
      </c>
    </row>
    <row r="322" spans="1:27">
      <c r="A322" s="152">
        <v>44964</v>
      </c>
      <c r="B322" s="152"/>
      <c r="C322" s="700" t="s">
        <v>34</v>
      </c>
      <c r="D322" s="692">
        <v>21.71</v>
      </c>
      <c r="E322" s="692">
        <v>23.42</v>
      </c>
      <c r="F322" s="692">
        <v>21.13</v>
      </c>
      <c r="G322" s="692">
        <v>25.3</v>
      </c>
      <c r="H322" s="692">
        <v>24.12</v>
      </c>
      <c r="I322" s="692">
        <v>23.77</v>
      </c>
      <c r="J322" s="206">
        <v>-76.100999999999999</v>
      </c>
      <c r="K322" s="206">
        <v>125.70099999999999</v>
      </c>
      <c r="L322" s="207">
        <v>-1E-3</v>
      </c>
      <c r="M322" s="207">
        <v>7.0000000000000007E-2</v>
      </c>
      <c r="N322" s="207">
        <v>0.05</v>
      </c>
      <c r="O322" s="197" t="s">
        <v>51</v>
      </c>
      <c r="P322" s="692"/>
      <c r="Q322" s="692"/>
      <c r="R322" s="692"/>
      <c r="S322" s="301">
        <v>45119</v>
      </c>
      <c r="T322" s="115"/>
      <c r="U322" s="202">
        <v>1.2999999999999999E-2</v>
      </c>
      <c r="V322" s="202">
        <v>8.0000000000000002E-3</v>
      </c>
      <c r="W322" s="115"/>
      <c r="X322" s="115"/>
      <c r="Y322" s="115"/>
      <c r="AA322" s="115"/>
    </row>
    <row r="323" spans="1:27">
      <c r="A323" s="152">
        <v>44964</v>
      </c>
      <c r="B323" s="152"/>
      <c r="C323" s="700" t="s">
        <v>646</v>
      </c>
      <c r="D323" s="692">
        <v>21.71</v>
      </c>
      <c r="E323" s="692">
        <v>23.42</v>
      </c>
      <c r="F323" s="692">
        <v>21.13</v>
      </c>
      <c r="G323" s="692">
        <v>25.3</v>
      </c>
      <c r="H323" s="692">
        <v>24.12</v>
      </c>
      <c r="I323" s="692">
        <v>23.77</v>
      </c>
      <c r="J323" s="206">
        <v>-60.281999999999996</v>
      </c>
      <c r="K323" s="206">
        <v>108.199</v>
      </c>
      <c r="L323" s="207">
        <v>-2E-3</v>
      </c>
      <c r="M323" s="207">
        <v>7.0000000000000007E-2</v>
      </c>
      <c r="N323" s="207">
        <v>0.05</v>
      </c>
      <c r="O323" s="199">
        <v>1137</v>
      </c>
      <c r="P323" s="692"/>
      <c r="Q323" s="692"/>
      <c r="R323" s="692"/>
      <c r="S323" s="301">
        <v>50425</v>
      </c>
      <c r="T323" s="115"/>
      <c r="U323" s="115"/>
      <c r="V323" s="115"/>
      <c r="W323" s="125">
        <v>803</v>
      </c>
      <c r="X323" s="125">
        <v>617</v>
      </c>
      <c r="Y323" s="125"/>
      <c r="Z323" s="213">
        <f>R316-R324</f>
        <v>0.57269400000000026</v>
      </c>
      <c r="AA323" s="115"/>
    </row>
    <row r="324" spans="1:27">
      <c r="A324" s="152">
        <v>44964</v>
      </c>
      <c r="B324" s="152"/>
      <c r="C324" s="700" t="s">
        <v>647</v>
      </c>
      <c r="D324" s="692">
        <v>21.71</v>
      </c>
      <c r="E324" s="692">
        <v>23.42</v>
      </c>
      <c r="F324" s="692">
        <v>21.13</v>
      </c>
      <c r="G324" s="692">
        <v>25.3</v>
      </c>
      <c r="H324" s="692">
        <v>24.12</v>
      </c>
      <c r="I324" s="692">
        <v>23.77</v>
      </c>
      <c r="J324" s="206">
        <v>-105.494</v>
      </c>
      <c r="K324" s="206">
        <v>102.70099999999999</v>
      </c>
      <c r="L324" s="207">
        <v>0</v>
      </c>
      <c r="M324" s="207">
        <v>0.70320000000000005</v>
      </c>
      <c r="N324" s="207">
        <v>4.9910000000000003E-2</v>
      </c>
      <c r="O324" s="199">
        <v>1137</v>
      </c>
      <c r="P324" s="692"/>
      <c r="Q324" s="692"/>
      <c r="R324" s="204">
        <v>3.459632</v>
      </c>
      <c r="S324" s="301">
        <v>51518</v>
      </c>
      <c r="T324" s="115"/>
      <c r="U324" s="115"/>
      <c r="V324" s="115"/>
      <c r="W324" s="125">
        <v>189</v>
      </c>
      <c r="X324" s="125">
        <v>962</v>
      </c>
      <c r="Y324" s="125"/>
      <c r="AA324" s="115"/>
    </row>
    <row r="325" spans="1:27" ht="21.6">
      <c r="A325" s="126" t="s">
        <v>0</v>
      </c>
      <c r="B325" s="126"/>
      <c r="C325" s="272" t="s">
        <v>375</v>
      </c>
      <c r="D325" s="750" t="s">
        <v>6</v>
      </c>
      <c r="E325" s="750"/>
      <c r="F325" s="750" t="s">
        <v>7</v>
      </c>
      <c r="G325" s="750"/>
      <c r="H325" s="750" t="s">
        <v>8</v>
      </c>
      <c r="I325" s="750"/>
      <c r="J325" s="696" t="s">
        <v>629</v>
      </c>
      <c r="K325" s="696" t="s">
        <v>630</v>
      </c>
      <c r="L325" s="696" t="s">
        <v>631</v>
      </c>
      <c r="M325" s="696" t="s">
        <v>632</v>
      </c>
      <c r="N325" s="696" t="s">
        <v>633</v>
      </c>
      <c r="O325" s="696" t="s">
        <v>14</v>
      </c>
      <c r="P325" s="696" t="s">
        <v>595</v>
      </c>
      <c r="Q325" s="696" t="s">
        <v>15</v>
      </c>
      <c r="R325" s="696" t="s">
        <v>16</v>
      </c>
      <c r="S325" s="303" t="s">
        <v>17</v>
      </c>
      <c r="T325" s="126" t="s">
        <v>419</v>
      </c>
      <c r="U325" s="203" t="s">
        <v>420</v>
      </c>
      <c r="V325" s="203" t="s">
        <v>421</v>
      </c>
      <c r="W325" s="126" t="s">
        <v>422</v>
      </c>
      <c r="X325" s="126" t="s">
        <v>423</v>
      </c>
      <c r="Y325" s="126"/>
    </row>
    <row r="326" spans="1:27" ht="30.6">
      <c r="A326" s="152">
        <v>44965</v>
      </c>
      <c r="B326" s="152"/>
      <c r="C326" s="700" t="s">
        <v>677</v>
      </c>
      <c r="D326" s="692">
        <v>20.703236842105262</v>
      </c>
      <c r="E326" s="692">
        <v>23.43</v>
      </c>
      <c r="F326" s="692">
        <v>21.15</v>
      </c>
      <c r="G326" s="692">
        <v>24.07</v>
      </c>
      <c r="H326" s="692">
        <v>24.12</v>
      </c>
      <c r="I326" s="692">
        <v>23.77</v>
      </c>
      <c r="J326" s="695"/>
      <c r="K326" s="695"/>
      <c r="L326" s="209"/>
      <c r="M326" s="209"/>
      <c r="N326" s="209"/>
      <c r="O326" s="197" t="s">
        <v>45</v>
      </c>
      <c r="P326" s="692"/>
      <c r="Q326" s="692"/>
      <c r="R326" s="692"/>
      <c r="S326" s="301">
        <v>4628</v>
      </c>
      <c r="T326" s="115"/>
      <c r="U326" s="200">
        <v>8.0000000000000004E-4</v>
      </c>
      <c r="V326" s="200">
        <v>4.0000000000000002E-4</v>
      </c>
      <c r="W326" s="115"/>
      <c r="X326" s="115"/>
      <c r="Y326" s="115"/>
    </row>
    <row r="327" spans="1:27" ht="20.45">
      <c r="A327" s="152">
        <v>44965</v>
      </c>
      <c r="B327" s="152"/>
      <c r="C327" s="700" t="s">
        <v>634</v>
      </c>
      <c r="D327" s="692">
        <v>20.703236842105262</v>
      </c>
      <c r="E327" s="692">
        <v>23.43</v>
      </c>
      <c r="F327" s="692">
        <v>21.15</v>
      </c>
      <c r="G327" s="692">
        <v>24.07</v>
      </c>
      <c r="H327" s="692">
        <v>24.12</v>
      </c>
      <c r="I327" s="692">
        <v>23.77</v>
      </c>
      <c r="J327" s="695"/>
      <c r="K327" s="695"/>
      <c r="L327" s="209"/>
      <c r="M327" s="209"/>
      <c r="N327" s="209"/>
      <c r="O327" s="197" t="s">
        <v>313</v>
      </c>
      <c r="P327" s="692"/>
      <c r="Q327" s="692"/>
      <c r="R327" s="692"/>
      <c r="S327" s="301">
        <v>4937</v>
      </c>
      <c r="T327" s="115"/>
      <c r="U327" s="201"/>
      <c r="V327" s="201"/>
      <c r="W327" s="120">
        <v>793.1</v>
      </c>
      <c r="X327" s="120">
        <v>602.1</v>
      </c>
      <c r="Y327" s="120"/>
    </row>
    <row r="328" spans="1:27" ht="20.45">
      <c r="A328" s="152">
        <v>44965</v>
      </c>
      <c r="B328" s="152"/>
      <c r="C328" s="700" t="s">
        <v>635</v>
      </c>
      <c r="D328" s="692">
        <v>20.703236842105262</v>
      </c>
      <c r="E328" s="692">
        <v>23.43</v>
      </c>
      <c r="F328" s="692">
        <v>21.15</v>
      </c>
      <c r="G328" s="692">
        <v>24.07</v>
      </c>
      <c r="H328" s="692">
        <v>24.12</v>
      </c>
      <c r="I328" s="692">
        <v>23.77</v>
      </c>
      <c r="J328" s="695"/>
      <c r="K328" s="695"/>
      <c r="L328" s="209"/>
      <c r="M328" s="209"/>
      <c r="N328" s="209"/>
      <c r="O328" s="197" t="s">
        <v>323</v>
      </c>
      <c r="P328" s="692"/>
      <c r="Q328" s="692"/>
      <c r="R328" s="197">
        <v>4.0316260000000002</v>
      </c>
      <c r="S328" s="301">
        <v>5907</v>
      </c>
      <c r="T328" s="115"/>
      <c r="U328" s="201"/>
      <c r="V328" s="201"/>
      <c r="W328" s="125">
        <v>148</v>
      </c>
      <c r="X328" s="125">
        <v>1051</v>
      </c>
      <c r="Y328" s="125"/>
      <c r="Z328" s="163">
        <f>R328-R316</f>
        <v>-7.0000000000014495E-4</v>
      </c>
    </row>
    <row r="329" spans="1:27">
      <c r="A329" s="152">
        <v>44965</v>
      </c>
      <c r="B329" s="152"/>
      <c r="C329" s="700" t="s">
        <v>31</v>
      </c>
      <c r="D329" s="692">
        <v>20.703236842105262</v>
      </c>
      <c r="E329" s="692">
        <v>23.43</v>
      </c>
      <c r="F329" s="692">
        <v>21.15</v>
      </c>
      <c r="G329" s="692">
        <v>24.07</v>
      </c>
      <c r="H329" s="692">
        <v>24.12</v>
      </c>
      <c r="I329" s="692">
        <v>23.77</v>
      </c>
      <c r="J329" s="206">
        <v>101.501</v>
      </c>
      <c r="K329" s="206">
        <v>125.705</v>
      </c>
      <c r="L329" s="207">
        <v>5.9999999999999995E-4</v>
      </c>
      <c r="M329" s="207">
        <v>8.677E-2</v>
      </c>
      <c r="N329" s="207">
        <v>5.9700000000000003E-2</v>
      </c>
      <c r="O329" s="197" t="s">
        <v>60</v>
      </c>
      <c r="P329" s="692"/>
      <c r="Q329" s="692"/>
      <c r="R329" s="692"/>
      <c r="S329" s="301">
        <v>11519</v>
      </c>
      <c r="T329" s="115"/>
      <c r="U329" s="202">
        <v>6.1999999999999998E-3</v>
      </c>
      <c r="V329" s="202">
        <v>3.8999999999999998E-3</v>
      </c>
      <c r="W329" s="115"/>
      <c r="X329" s="115"/>
      <c r="Y329" s="115"/>
    </row>
    <row r="330" spans="1:27" s="220" customFormat="1">
      <c r="A330" s="214">
        <v>44965</v>
      </c>
      <c r="B330" s="214"/>
      <c r="C330" s="273" t="s">
        <v>615</v>
      </c>
      <c r="D330" s="215">
        <v>20.703236842105262</v>
      </c>
      <c r="E330" s="215">
        <v>23.43</v>
      </c>
      <c r="F330" s="215">
        <v>21.15</v>
      </c>
      <c r="G330" s="215">
        <v>24.07</v>
      </c>
      <c r="H330" s="215">
        <v>24.12</v>
      </c>
      <c r="I330" s="215">
        <v>23.77</v>
      </c>
      <c r="J330" s="216">
        <v>88.830699999999993</v>
      </c>
      <c r="K330" s="216">
        <v>108.199</v>
      </c>
      <c r="L330" s="217">
        <v>4.0000000000000002E-4</v>
      </c>
      <c r="M330" s="217">
        <v>8.7499999999999994E-2</v>
      </c>
      <c r="N330" s="217">
        <v>5.9749999999999998E-2</v>
      </c>
      <c r="O330" s="218">
        <v>1131</v>
      </c>
      <c r="P330" s="215"/>
      <c r="Q330" s="215"/>
      <c r="R330" s="215"/>
      <c r="S330" s="305">
        <v>12421</v>
      </c>
      <c r="T330" s="127"/>
      <c r="U330" s="127"/>
      <c r="V330" s="127"/>
      <c r="W330" s="127">
        <v>792.7</v>
      </c>
      <c r="X330" s="127">
        <v>601.70000000000005</v>
      </c>
      <c r="Y330" s="127"/>
      <c r="Z330" s="219"/>
    </row>
    <row r="331" spans="1:27" s="220" customFormat="1">
      <c r="A331" s="214">
        <v>44965</v>
      </c>
      <c r="B331" s="214"/>
      <c r="C331" s="273" t="s">
        <v>616</v>
      </c>
      <c r="D331" s="215">
        <v>20.703236842105262</v>
      </c>
      <c r="E331" s="215">
        <v>23.43</v>
      </c>
      <c r="F331" s="215">
        <v>21.15</v>
      </c>
      <c r="G331" s="215">
        <v>24.07</v>
      </c>
      <c r="H331" s="215">
        <v>24.12</v>
      </c>
      <c r="I331" s="215">
        <v>23.77</v>
      </c>
      <c r="J331" s="216">
        <v>67.695899999999995</v>
      </c>
      <c r="K331" s="216">
        <v>103.39700000000001</v>
      </c>
      <c r="L331" s="217">
        <v>4.0000000000000002E-4</v>
      </c>
      <c r="M331" s="217">
        <v>8.7529999999999997E-2</v>
      </c>
      <c r="N331" s="217">
        <v>5.9740000000000001E-2</v>
      </c>
      <c r="O331" s="218">
        <v>1140</v>
      </c>
      <c r="P331" s="215"/>
      <c r="Q331" s="215"/>
      <c r="R331" s="221">
        <v>3.4590730000000001</v>
      </c>
      <c r="S331" s="305">
        <v>13009</v>
      </c>
      <c r="T331" s="127"/>
      <c r="U331" s="127"/>
      <c r="V331" s="127"/>
      <c r="W331" s="127">
        <v>179</v>
      </c>
      <c r="X331" s="127">
        <v>941</v>
      </c>
      <c r="Y331" s="127"/>
      <c r="Z331" s="219"/>
    </row>
    <row r="332" spans="1:27" ht="20.45">
      <c r="A332" s="152">
        <v>44965</v>
      </c>
      <c r="B332" s="152"/>
      <c r="C332" s="700" t="s">
        <v>651</v>
      </c>
      <c r="D332" s="692">
        <v>20.703236842105262</v>
      </c>
      <c r="E332" s="692">
        <v>23.43</v>
      </c>
      <c r="F332" s="692">
        <v>21.15</v>
      </c>
      <c r="G332" s="692">
        <v>24.07</v>
      </c>
      <c r="H332" s="692">
        <v>24.4</v>
      </c>
      <c r="I332" s="692">
        <v>23.45</v>
      </c>
      <c r="J332" s="206">
        <v>100.905</v>
      </c>
      <c r="K332" s="206">
        <v>100.4</v>
      </c>
      <c r="L332" s="207">
        <v>8.0000000000000004E-4</v>
      </c>
      <c r="M332" s="207">
        <v>8.7550000000000003E-2</v>
      </c>
      <c r="N332" s="207">
        <v>5.9760000000000001E-2</v>
      </c>
      <c r="O332" s="199">
        <v>1140</v>
      </c>
      <c r="P332" s="692"/>
      <c r="Q332" s="692"/>
      <c r="R332" s="208"/>
      <c r="S332" s="301">
        <v>13906</v>
      </c>
      <c r="T332" s="115"/>
      <c r="U332" s="115"/>
      <c r="V332" s="115"/>
      <c r="W332" s="125">
        <v>793</v>
      </c>
      <c r="X332" s="125">
        <v>603</v>
      </c>
      <c r="Y332" s="125"/>
    </row>
    <row r="333" spans="1:27">
      <c r="A333" s="152">
        <v>44965</v>
      </c>
      <c r="B333" s="152"/>
      <c r="C333" s="700" t="s">
        <v>678</v>
      </c>
      <c r="D333" s="692">
        <v>20.703236842105262</v>
      </c>
      <c r="E333" s="692">
        <v>23.43</v>
      </c>
      <c r="F333" s="692">
        <v>21.15</v>
      </c>
      <c r="G333" s="692">
        <v>24.07</v>
      </c>
      <c r="H333" s="692">
        <v>24.12</v>
      </c>
      <c r="I333" s="692">
        <v>23.77</v>
      </c>
      <c r="J333" s="206">
        <v>111.9</v>
      </c>
      <c r="K333" s="206">
        <v>148.601</v>
      </c>
      <c r="L333" s="207">
        <v>4.0000000000000002E-4</v>
      </c>
      <c r="M333" s="207">
        <v>8.7190000000000004E-2</v>
      </c>
      <c r="N333" s="207">
        <v>5.9760000000000001E-2</v>
      </c>
      <c r="O333" s="199">
        <v>1131</v>
      </c>
      <c r="P333" s="692"/>
      <c r="Q333" s="692"/>
      <c r="R333" s="692"/>
      <c r="S333" s="301">
        <v>20329</v>
      </c>
      <c r="T333" s="115"/>
      <c r="U333" s="115"/>
      <c r="V333" s="115"/>
      <c r="W333" s="125">
        <v>792.6</v>
      </c>
      <c r="X333" s="125">
        <v>601</v>
      </c>
      <c r="Y333" s="125"/>
    </row>
    <row r="334" spans="1:27" ht="21.6">
      <c r="A334" s="126" t="s">
        <v>0</v>
      </c>
      <c r="B334" s="126"/>
      <c r="C334" s="272" t="s">
        <v>375</v>
      </c>
      <c r="D334" s="750" t="s">
        <v>6</v>
      </c>
      <c r="E334" s="750"/>
      <c r="F334" s="750" t="s">
        <v>7</v>
      </c>
      <c r="G334" s="750"/>
      <c r="H334" s="750" t="s">
        <v>8</v>
      </c>
      <c r="I334" s="750"/>
      <c r="J334" s="696" t="s">
        <v>629</v>
      </c>
      <c r="K334" s="696" t="s">
        <v>630</v>
      </c>
      <c r="L334" s="696" t="s">
        <v>631</v>
      </c>
      <c r="M334" s="696" t="s">
        <v>632</v>
      </c>
      <c r="N334" s="696" t="s">
        <v>633</v>
      </c>
      <c r="O334" s="696" t="s">
        <v>14</v>
      </c>
      <c r="P334" s="696" t="s">
        <v>595</v>
      </c>
      <c r="Q334" s="696" t="s">
        <v>15</v>
      </c>
      <c r="R334" s="696" t="s">
        <v>16</v>
      </c>
      <c r="S334" s="303" t="s">
        <v>17</v>
      </c>
      <c r="T334" s="126" t="s">
        <v>419</v>
      </c>
      <c r="U334" s="203" t="s">
        <v>420</v>
      </c>
      <c r="V334" s="203" t="s">
        <v>421</v>
      </c>
      <c r="W334" s="126" t="s">
        <v>422</v>
      </c>
      <c r="X334" s="126" t="s">
        <v>423</v>
      </c>
      <c r="Y334" s="126"/>
    </row>
    <row r="335" spans="1:27" ht="30.6">
      <c r="A335" s="152">
        <v>44967</v>
      </c>
      <c r="B335" s="152"/>
      <c r="C335" s="700" t="s">
        <v>679</v>
      </c>
      <c r="D335" s="692">
        <v>20.7</v>
      </c>
      <c r="E335" s="692">
        <v>23.43</v>
      </c>
      <c r="F335" s="692">
        <v>21.15</v>
      </c>
      <c r="G335" s="692">
        <v>24.07</v>
      </c>
      <c r="H335" s="692">
        <v>24.12</v>
      </c>
      <c r="I335" s="692">
        <v>23.77</v>
      </c>
      <c r="J335" s="692">
        <v>-2147.48</v>
      </c>
      <c r="K335" s="692">
        <v>-65.001000000000005</v>
      </c>
      <c r="L335" s="692">
        <v>-60.005400000000002</v>
      </c>
      <c r="M335" s="692">
        <v>-8.9999999999999998E-4</v>
      </c>
      <c r="N335" s="692">
        <v>4.0000000000000002E-4</v>
      </c>
      <c r="O335" s="692" t="s">
        <v>323</v>
      </c>
      <c r="P335" s="692"/>
      <c r="Q335" s="692">
        <v>25</v>
      </c>
      <c r="R335" s="204" t="s">
        <v>680</v>
      </c>
      <c r="T335" s="115"/>
      <c r="U335" s="115"/>
      <c r="V335" s="115"/>
      <c r="W335" s="115"/>
      <c r="X335" s="115"/>
      <c r="Y335" s="115"/>
    </row>
    <row r="336" spans="1:27" ht="30.6">
      <c r="A336" s="152">
        <v>44967</v>
      </c>
      <c r="B336" s="152"/>
      <c r="C336" s="700" t="s">
        <v>681</v>
      </c>
      <c r="D336" s="692">
        <v>20.7</v>
      </c>
      <c r="E336" s="692">
        <v>23.43</v>
      </c>
      <c r="F336" s="692">
        <v>21.15</v>
      </c>
      <c r="G336" s="692">
        <v>24.07</v>
      </c>
      <c r="H336" s="692">
        <v>24.64</v>
      </c>
      <c r="I336" s="692">
        <v>23.24</v>
      </c>
      <c r="J336" s="692">
        <v>-2147.48</v>
      </c>
      <c r="K336" s="692">
        <v>-65.001000000000005</v>
      </c>
      <c r="L336" s="692">
        <v>-60.005400000000002</v>
      </c>
      <c r="M336" s="692">
        <v>-8.9999999999999998E-4</v>
      </c>
      <c r="N336" s="692">
        <v>4.0000000000000002E-4</v>
      </c>
      <c r="O336" s="692" t="s">
        <v>671</v>
      </c>
      <c r="P336" s="692"/>
      <c r="Q336" s="692">
        <v>7</v>
      </c>
      <c r="R336" s="204" t="s">
        <v>680</v>
      </c>
      <c r="T336" s="115"/>
      <c r="U336" s="115"/>
      <c r="V336" s="115"/>
      <c r="W336" s="115"/>
      <c r="X336" s="115"/>
      <c r="Y336" s="115"/>
    </row>
    <row r="337" spans="1:35" ht="20.45">
      <c r="A337" s="152">
        <v>44967</v>
      </c>
      <c r="B337" s="152"/>
      <c r="C337" s="700" t="s">
        <v>682</v>
      </c>
      <c r="D337" s="692">
        <v>20.702999999999999</v>
      </c>
      <c r="E337" s="692">
        <v>23.43</v>
      </c>
      <c r="F337" s="692">
        <v>21.15</v>
      </c>
      <c r="G337" s="692">
        <v>24.07</v>
      </c>
      <c r="H337" s="692">
        <v>24.12</v>
      </c>
      <c r="I337" s="692">
        <v>23.77</v>
      </c>
      <c r="J337" s="206">
        <v>67.69</v>
      </c>
      <c r="K337" s="206">
        <v>103.399</v>
      </c>
      <c r="L337" s="207">
        <v>-4.0000000000000001E-3</v>
      </c>
      <c r="M337" s="207">
        <v>8.7499999999999994E-2</v>
      </c>
      <c r="N337" s="207">
        <v>5.9900000000000002E-2</v>
      </c>
      <c r="O337" s="199"/>
      <c r="P337" s="692"/>
      <c r="Q337" s="692"/>
      <c r="R337" s="204" t="s">
        <v>680</v>
      </c>
      <c r="S337" s="301"/>
      <c r="T337" s="115"/>
      <c r="U337" s="115"/>
      <c r="V337" s="115"/>
      <c r="W337" s="115"/>
      <c r="X337" s="115"/>
      <c r="Y337" s="115"/>
    </row>
    <row r="338" spans="1:35">
      <c r="A338" s="152">
        <v>44967</v>
      </c>
      <c r="B338" s="152"/>
      <c r="C338" s="700" t="s">
        <v>683</v>
      </c>
      <c r="D338" s="692">
        <v>20.702999999999999</v>
      </c>
      <c r="E338" s="692">
        <v>23.43</v>
      </c>
      <c r="F338" s="692">
        <v>21.15</v>
      </c>
      <c r="G338" s="692">
        <v>24.07</v>
      </c>
      <c r="H338" s="692">
        <v>24.12</v>
      </c>
      <c r="I338" s="692">
        <v>23.77</v>
      </c>
      <c r="J338" s="206">
        <v>88.829300000000003</v>
      </c>
      <c r="K338" s="206">
        <v>108.199</v>
      </c>
      <c r="L338" s="207">
        <v>0</v>
      </c>
      <c r="M338" s="207">
        <v>8.7499999999999994E-2</v>
      </c>
      <c r="N338" s="207">
        <v>5.9900000000000002E-2</v>
      </c>
      <c r="O338" s="199">
        <v>1131</v>
      </c>
      <c r="P338" s="692"/>
      <c r="Q338" s="692"/>
      <c r="R338" s="692"/>
      <c r="S338" s="301">
        <v>14626</v>
      </c>
      <c r="T338" s="115"/>
      <c r="U338" s="115"/>
      <c r="V338" s="115"/>
      <c r="W338" s="125">
        <v>829.7</v>
      </c>
      <c r="X338" s="125">
        <v>601.9</v>
      </c>
      <c r="Y338" s="125"/>
    </row>
    <row r="339" spans="1:35">
      <c r="A339" s="152">
        <v>44967</v>
      </c>
      <c r="B339" s="152"/>
      <c r="C339" s="700" t="s">
        <v>684</v>
      </c>
      <c r="D339" s="692">
        <v>20.702999999999999</v>
      </c>
      <c r="E339" s="692">
        <v>23.43</v>
      </c>
      <c r="F339" s="692">
        <v>21.15</v>
      </c>
      <c r="G339" s="692">
        <v>24.07</v>
      </c>
      <c r="H339" s="692">
        <v>24.12</v>
      </c>
      <c r="I339" s="692">
        <v>23.77</v>
      </c>
      <c r="J339" s="206">
        <v>97.829700000000003</v>
      </c>
      <c r="K339" s="206">
        <v>108.199</v>
      </c>
      <c r="L339" s="207">
        <v>0</v>
      </c>
      <c r="M339" s="207">
        <v>8.7499999999999994E-2</v>
      </c>
      <c r="N339" s="207">
        <v>5.9900000000000002E-2</v>
      </c>
      <c r="O339" s="199">
        <v>1131</v>
      </c>
      <c r="P339" s="692"/>
      <c r="Q339" s="692"/>
      <c r="R339" s="692"/>
      <c r="S339" s="301">
        <v>14808</v>
      </c>
      <c r="T339" s="115"/>
      <c r="U339" s="115"/>
      <c r="V339" s="115"/>
      <c r="W339" s="125">
        <v>985.1</v>
      </c>
      <c r="X339" s="125">
        <v>494.8</v>
      </c>
      <c r="Y339" s="125"/>
      <c r="AC339" s="177" t="s">
        <v>404</v>
      </c>
      <c r="AG339" s="177" t="s">
        <v>685</v>
      </c>
    </row>
    <row r="340" spans="1:35">
      <c r="A340" s="152">
        <v>44967</v>
      </c>
      <c r="B340" s="152"/>
      <c r="C340" s="700" t="s">
        <v>686</v>
      </c>
      <c r="D340" s="692">
        <v>20.702999999999999</v>
      </c>
      <c r="E340" s="692">
        <v>23.43</v>
      </c>
      <c r="F340" s="692">
        <v>21.15</v>
      </c>
      <c r="G340" s="692">
        <v>24.07</v>
      </c>
      <c r="H340" s="692">
        <v>24.12</v>
      </c>
      <c r="I340" s="692">
        <v>23.77</v>
      </c>
      <c r="J340" s="206">
        <v>79.843000000000004</v>
      </c>
      <c r="K340" s="206">
        <v>108.199</v>
      </c>
      <c r="L340" s="207">
        <v>0</v>
      </c>
      <c r="M340" s="207">
        <v>8.7499999999999994E-2</v>
      </c>
      <c r="N340" s="207">
        <v>5.9900000000000002E-2</v>
      </c>
      <c r="O340" s="199">
        <v>1131</v>
      </c>
      <c r="P340" s="692"/>
      <c r="Q340" s="692"/>
      <c r="R340" s="692"/>
      <c r="S340" s="301">
        <v>15052</v>
      </c>
      <c r="T340" s="115"/>
      <c r="U340" s="115"/>
      <c r="V340" s="115"/>
      <c r="W340" s="125">
        <v>674.6</v>
      </c>
      <c r="X340" s="125">
        <v>708</v>
      </c>
      <c r="Y340" s="125"/>
      <c r="AA340" s="222"/>
      <c r="AB340" s="164">
        <f>SQRT((W340-W339)^2+(X340-X339)^2)</f>
        <v>376.64902761058602</v>
      </c>
      <c r="AC340" s="177" t="e">
        <f>AB340/AA340</f>
        <v>#DIV/0!</v>
      </c>
      <c r="AE340" s="164">
        <f>(W340-W339)</f>
        <v>-310.5</v>
      </c>
      <c r="AF340" s="164">
        <f>(X340-X339)</f>
        <v>213.2</v>
      </c>
      <c r="AG340" s="177">
        <f>90+ATAN(AE340/AF340)*180/PI()</f>
        <v>34.474834339263531</v>
      </c>
    </row>
    <row r="341" spans="1:35">
      <c r="A341" s="152">
        <v>44967</v>
      </c>
      <c r="B341" s="152"/>
      <c r="C341" s="700" t="s">
        <v>687</v>
      </c>
      <c r="D341" s="692">
        <v>20.702999999999999</v>
      </c>
      <c r="E341" s="692">
        <v>23.43</v>
      </c>
      <c r="F341" s="692">
        <v>21.15</v>
      </c>
      <c r="G341" s="692">
        <v>24.07</v>
      </c>
      <c r="H341" s="692">
        <v>24.12</v>
      </c>
      <c r="I341" s="692">
        <v>23.77</v>
      </c>
      <c r="J341" s="206">
        <v>88.83</v>
      </c>
      <c r="K341" s="206">
        <v>117.2</v>
      </c>
      <c r="L341" s="207">
        <v>-5.0000000000000001E-4</v>
      </c>
      <c r="M341" s="207">
        <v>8.7499999999999994E-2</v>
      </c>
      <c r="N341" s="207">
        <v>5.9900000000000002E-2</v>
      </c>
      <c r="O341" s="199">
        <v>1131</v>
      </c>
      <c r="P341" s="692"/>
      <c r="Q341" s="692"/>
      <c r="R341" s="692"/>
      <c r="S341" s="301">
        <v>15315</v>
      </c>
      <c r="T341" s="115"/>
      <c r="U341" s="115"/>
      <c r="V341" s="115"/>
      <c r="W341" s="125">
        <v>724.9</v>
      </c>
      <c r="X341" s="125">
        <v>449.7</v>
      </c>
      <c r="Y341" s="125"/>
    </row>
    <row r="342" spans="1:35">
      <c r="A342" s="152">
        <v>44967</v>
      </c>
      <c r="B342" s="152"/>
      <c r="C342" s="700" t="s">
        <v>688</v>
      </c>
      <c r="D342" s="692">
        <v>20.702999999999999</v>
      </c>
      <c r="E342" s="692">
        <v>23.43</v>
      </c>
      <c r="F342" s="692">
        <v>21.15</v>
      </c>
      <c r="G342" s="692">
        <v>24.07</v>
      </c>
      <c r="H342" s="692">
        <v>24.12</v>
      </c>
      <c r="I342" s="692">
        <v>23.77</v>
      </c>
      <c r="J342" s="206">
        <v>88.830200000000005</v>
      </c>
      <c r="K342" s="206">
        <v>99.2</v>
      </c>
      <c r="L342" s="207">
        <v>1E-4</v>
      </c>
      <c r="M342" s="207">
        <v>8.7499999999999994E-2</v>
      </c>
      <c r="N342" s="207">
        <v>5.9900000000000002E-2</v>
      </c>
      <c r="O342" s="199">
        <v>1131</v>
      </c>
      <c r="P342" s="692"/>
      <c r="Q342" s="692"/>
      <c r="R342" s="692"/>
      <c r="S342" s="301">
        <v>15504</v>
      </c>
      <c r="T342" s="115"/>
      <c r="U342" s="115"/>
      <c r="V342" s="115"/>
      <c r="W342" s="125">
        <v>934</v>
      </c>
      <c r="X342" s="125">
        <v>754.7</v>
      </c>
      <c r="Y342" s="125"/>
    </row>
    <row r="343" spans="1:35" ht="21.6">
      <c r="A343" s="126" t="s">
        <v>0</v>
      </c>
      <c r="B343" s="126"/>
      <c r="C343" s="272" t="s">
        <v>375</v>
      </c>
      <c r="D343" s="750" t="s">
        <v>6</v>
      </c>
      <c r="E343" s="750"/>
      <c r="F343" s="750" t="s">
        <v>7</v>
      </c>
      <c r="G343" s="750"/>
      <c r="H343" s="750" t="s">
        <v>8</v>
      </c>
      <c r="I343" s="750"/>
      <c r="J343" s="696" t="s">
        <v>629</v>
      </c>
      <c r="K343" s="696" t="s">
        <v>630</v>
      </c>
      <c r="L343" s="696" t="s">
        <v>631</v>
      </c>
      <c r="M343" s="696" t="s">
        <v>632</v>
      </c>
      <c r="N343" s="696" t="s">
        <v>633</v>
      </c>
      <c r="O343" s="696" t="s">
        <v>14</v>
      </c>
      <c r="P343" s="696" t="s">
        <v>595</v>
      </c>
      <c r="Q343" s="696" t="s">
        <v>15</v>
      </c>
      <c r="R343" s="696" t="s">
        <v>16</v>
      </c>
      <c r="S343" s="303" t="s">
        <v>17</v>
      </c>
      <c r="T343" s="126" t="s">
        <v>419</v>
      </c>
      <c r="U343" s="203" t="s">
        <v>420</v>
      </c>
      <c r="V343" s="203" t="s">
        <v>421</v>
      </c>
      <c r="W343" s="126" t="s">
        <v>422</v>
      </c>
      <c r="X343" s="126" t="s">
        <v>423</v>
      </c>
      <c r="Y343" s="126"/>
    </row>
    <row r="344" spans="1:35" ht="20.45">
      <c r="A344" s="152">
        <v>44971</v>
      </c>
      <c r="B344" s="152"/>
      <c r="C344" s="700" t="s">
        <v>689</v>
      </c>
      <c r="D344" s="692">
        <v>20.702000000000002</v>
      </c>
      <c r="E344" s="692">
        <v>23.427</v>
      </c>
      <c r="F344" s="692">
        <v>21.138000000000002</v>
      </c>
      <c r="G344" s="692">
        <v>24.062999999999999</v>
      </c>
      <c r="H344" s="692">
        <v>24.63</v>
      </c>
      <c r="I344" s="692">
        <v>23.23</v>
      </c>
      <c r="J344" s="206">
        <v>-2147.48</v>
      </c>
      <c r="K344" s="206">
        <v>-65.001000000000005</v>
      </c>
      <c r="L344" s="207">
        <v>-60.005400000000002</v>
      </c>
      <c r="M344" s="207">
        <v>-8.9999999999999998E-4</v>
      </c>
      <c r="N344" s="207">
        <v>4.0000000000000002E-4</v>
      </c>
      <c r="O344" s="168"/>
      <c r="P344" s="692"/>
      <c r="Q344" s="692">
        <v>7</v>
      </c>
      <c r="R344" s="692">
        <v>4.7624389999999996</v>
      </c>
      <c r="T344" s="115"/>
      <c r="U344" s="115"/>
      <c r="V344" s="115"/>
      <c r="W344" s="115"/>
      <c r="X344" s="115"/>
      <c r="Y344" s="115"/>
      <c r="AA344" s="223">
        <v>0.56736111111111109</v>
      </c>
      <c r="AB344" s="164">
        <v>305.10000000000002</v>
      </c>
      <c r="AC344" s="164">
        <v>301.2</v>
      </c>
      <c r="AD344" s="164">
        <v>301</v>
      </c>
      <c r="AE344" s="164">
        <v>302.7</v>
      </c>
      <c r="AF344" s="164">
        <v>306.2</v>
      </c>
      <c r="AG344" s="164">
        <v>300.60000000000002</v>
      </c>
      <c r="AH344" s="164">
        <v>302.7</v>
      </c>
      <c r="AI344" s="164" t="s">
        <v>690</v>
      </c>
    </row>
    <row r="345" spans="1:35" ht="20.45">
      <c r="A345" s="152">
        <v>44971</v>
      </c>
      <c r="B345" s="152"/>
      <c r="C345" s="700" t="s">
        <v>691</v>
      </c>
      <c r="D345" s="692">
        <v>20.702000000000002</v>
      </c>
      <c r="E345" s="692">
        <v>23.427</v>
      </c>
      <c r="F345" s="692">
        <v>21.138000000000002</v>
      </c>
      <c r="G345" s="692">
        <v>24.062999999999999</v>
      </c>
      <c r="H345" s="692">
        <v>24.12</v>
      </c>
      <c r="I345" s="692">
        <v>23.77</v>
      </c>
      <c r="J345" s="206">
        <v>-2147.48</v>
      </c>
      <c r="K345" s="206">
        <v>-65.001000000000005</v>
      </c>
      <c r="L345" s="207">
        <v>-60.005400000000002</v>
      </c>
      <c r="M345" s="207">
        <v>-8.9999999999999998E-4</v>
      </c>
      <c r="N345" s="207">
        <v>4.0000000000000002E-4</v>
      </c>
      <c r="O345" s="168"/>
      <c r="P345" s="692"/>
      <c r="Q345" s="692">
        <v>36</v>
      </c>
      <c r="R345" s="692">
        <v>4.0315789999999998</v>
      </c>
      <c r="T345" s="115"/>
      <c r="U345" s="115"/>
      <c r="V345" s="115"/>
      <c r="W345" s="115"/>
      <c r="X345" s="115"/>
      <c r="Y345" s="115"/>
      <c r="AA345" s="223">
        <v>0.56944444444444442</v>
      </c>
      <c r="AB345" s="164">
        <v>305.39999999999998</v>
      </c>
      <c r="AC345" s="164">
        <v>301.3</v>
      </c>
      <c r="AD345" s="164">
        <v>301.10000000000002</v>
      </c>
      <c r="AE345" s="164">
        <v>303</v>
      </c>
      <c r="AF345" s="164">
        <v>307.3</v>
      </c>
      <c r="AG345" s="164">
        <v>301</v>
      </c>
      <c r="AH345" s="164">
        <v>303.3</v>
      </c>
      <c r="AI345" s="164" t="s">
        <v>690</v>
      </c>
    </row>
    <row r="346" spans="1:35" ht="20.45">
      <c r="A346" s="152">
        <v>44971</v>
      </c>
      <c r="B346" s="152"/>
      <c r="C346" s="700" t="s">
        <v>692</v>
      </c>
      <c r="D346" s="692">
        <v>20.7</v>
      </c>
      <c r="E346" s="692">
        <v>23.43</v>
      </c>
      <c r="F346" s="692">
        <v>21.15</v>
      </c>
      <c r="G346" s="692">
        <v>24.07</v>
      </c>
      <c r="H346" s="692">
        <v>24.12</v>
      </c>
      <c r="I346" s="692">
        <v>23.77</v>
      </c>
      <c r="J346" s="692"/>
      <c r="K346" s="692"/>
      <c r="L346" s="692"/>
      <c r="M346" s="692"/>
      <c r="N346" s="692"/>
      <c r="O346" s="692"/>
      <c r="P346" s="692"/>
      <c r="Q346" s="692"/>
      <c r="R346" s="692"/>
      <c r="T346" s="115"/>
      <c r="U346" s="125">
        <v>2.2800000000000001E-2</v>
      </c>
      <c r="V346" s="125">
        <v>2.8500000000000001E-2</v>
      </c>
      <c r="W346" s="125">
        <v>800.77</v>
      </c>
      <c r="X346" s="125">
        <v>606.69000000000005</v>
      </c>
      <c r="Y346" s="125"/>
    </row>
    <row r="347" spans="1:35" ht="20.45">
      <c r="A347" s="152">
        <v>44971</v>
      </c>
      <c r="B347" s="152"/>
      <c r="C347" s="700" t="s">
        <v>693</v>
      </c>
      <c r="D347" s="692">
        <v>20.7</v>
      </c>
      <c r="E347" s="692">
        <v>23.43</v>
      </c>
      <c r="F347" s="692">
        <v>21.15</v>
      </c>
      <c r="G347" s="692">
        <v>24.07</v>
      </c>
      <c r="H347" s="692">
        <v>24.12</v>
      </c>
      <c r="I347" s="692">
        <v>23.77</v>
      </c>
      <c r="J347" s="692"/>
      <c r="K347" s="692"/>
      <c r="L347" s="692"/>
      <c r="M347" s="692"/>
      <c r="N347" s="692"/>
      <c r="O347" s="692"/>
      <c r="P347" s="692"/>
      <c r="Q347" s="692"/>
      <c r="R347" s="692"/>
      <c r="T347" s="115"/>
      <c r="U347" s="125">
        <v>4.02E-2</v>
      </c>
      <c r="V347" s="125">
        <v>1.3299999999999999E-2</v>
      </c>
      <c r="W347" s="125">
        <v>789</v>
      </c>
      <c r="X347" s="125">
        <v>619.70000000000005</v>
      </c>
      <c r="Y347" s="125"/>
    </row>
    <row r="348" spans="1:35" ht="20.45">
      <c r="A348" s="152">
        <v>44971</v>
      </c>
      <c r="B348" s="152"/>
      <c r="C348" s="700" t="s">
        <v>694</v>
      </c>
      <c r="D348" s="692">
        <v>20.7</v>
      </c>
      <c r="E348" s="692">
        <v>23.43</v>
      </c>
      <c r="F348" s="692">
        <v>21.15</v>
      </c>
      <c r="G348" s="692">
        <v>24.07</v>
      </c>
      <c r="H348" s="692">
        <v>24.12</v>
      </c>
      <c r="I348" s="692">
        <v>23.77</v>
      </c>
      <c r="J348" s="692"/>
      <c r="K348" s="692"/>
      <c r="L348" s="692"/>
      <c r="M348" s="692"/>
      <c r="N348" s="692"/>
      <c r="O348" s="692"/>
      <c r="P348" s="692"/>
      <c r="Q348" s="692"/>
      <c r="R348" s="692"/>
      <c r="T348" s="115"/>
      <c r="U348" s="125">
        <v>3.85E-2</v>
      </c>
      <c r="V348" s="125">
        <v>1.12E-2</v>
      </c>
      <c r="W348" s="125">
        <v>785.8</v>
      </c>
      <c r="X348" s="125">
        <v>620.70000000000005</v>
      </c>
      <c r="Y348" s="125"/>
      <c r="Z348" s="163" t="s">
        <v>695</v>
      </c>
    </row>
    <row r="349" spans="1:35" ht="20.45">
      <c r="A349" s="152">
        <v>44971</v>
      </c>
      <c r="B349" s="152"/>
      <c r="C349" s="700" t="s">
        <v>696</v>
      </c>
      <c r="D349" s="692">
        <v>20.7</v>
      </c>
      <c r="E349" s="692">
        <v>23.43</v>
      </c>
      <c r="F349" s="692">
        <v>21.15</v>
      </c>
      <c r="G349" s="692">
        <v>24.07</v>
      </c>
      <c r="H349" s="692">
        <v>24.12</v>
      </c>
      <c r="I349" s="692">
        <v>23.77</v>
      </c>
      <c r="J349" s="692"/>
      <c r="K349" s="692"/>
      <c r="L349" s="692"/>
      <c r="M349" s="692"/>
      <c r="N349" s="692"/>
      <c r="O349" s="692"/>
      <c r="P349" s="692"/>
      <c r="Q349" s="692"/>
      <c r="R349" s="692"/>
      <c r="T349" s="115"/>
      <c r="U349" s="125">
        <v>2.8400000000000002E-2</v>
      </c>
      <c r="V349" s="125">
        <v>1.67E-2</v>
      </c>
      <c r="W349" s="125">
        <v>789.8</v>
      </c>
      <c r="X349" s="125">
        <v>612.70000000000005</v>
      </c>
      <c r="Y349" s="125"/>
    </row>
    <row r="350" spans="1:35" ht="30.6">
      <c r="A350" s="152">
        <v>44971</v>
      </c>
      <c r="B350" s="152"/>
      <c r="C350" s="700" t="s">
        <v>697</v>
      </c>
      <c r="D350" s="692">
        <v>20.7</v>
      </c>
      <c r="E350" s="692">
        <v>23.43</v>
      </c>
      <c r="F350" s="692">
        <v>21.15</v>
      </c>
      <c r="G350" s="692">
        <v>24.07</v>
      </c>
      <c r="H350" s="692">
        <v>24.12</v>
      </c>
      <c r="I350" s="692">
        <v>23.77</v>
      </c>
      <c r="J350" s="692"/>
      <c r="K350" s="692"/>
      <c r="L350" s="692"/>
      <c r="M350" s="692"/>
      <c r="N350" s="692"/>
      <c r="O350" s="692"/>
      <c r="P350" s="692"/>
      <c r="Q350" s="692"/>
      <c r="R350" s="692"/>
      <c r="T350" s="115"/>
      <c r="U350" s="125">
        <v>3.4000000000000002E-2</v>
      </c>
      <c r="V350" s="125">
        <v>1.3299999999999999E-2</v>
      </c>
      <c r="W350" s="125">
        <v>788.6</v>
      </c>
      <c r="X350" s="125">
        <v>615.70000000000005</v>
      </c>
      <c r="Y350" s="125"/>
    </row>
    <row r="351" spans="1:35" ht="30.6">
      <c r="A351" s="152">
        <v>44971</v>
      </c>
      <c r="B351" s="152"/>
      <c r="C351" s="700" t="s">
        <v>698</v>
      </c>
      <c r="D351" s="692">
        <v>20.7</v>
      </c>
      <c r="E351" s="692">
        <v>23.43</v>
      </c>
      <c r="F351" s="692">
        <v>21.15</v>
      </c>
      <c r="G351" s="692">
        <v>24.07</v>
      </c>
      <c r="H351" s="692">
        <v>24.12</v>
      </c>
      <c r="I351" s="692">
        <v>23.77</v>
      </c>
      <c r="J351" s="692"/>
      <c r="K351" s="692"/>
      <c r="L351" s="692"/>
      <c r="M351" s="692"/>
      <c r="N351" s="692"/>
      <c r="O351" s="692"/>
      <c r="P351" s="692"/>
      <c r="Q351" s="692"/>
      <c r="R351" s="692"/>
      <c r="T351" s="115"/>
      <c r="U351" s="125">
        <v>2.3900000000000001E-2</v>
      </c>
      <c r="V351" s="125">
        <v>2.0899999999999998E-2</v>
      </c>
      <c r="W351" s="125">
        <v>794.7</v>
      </c>
      <c r="X351" s="125">
        <v>607.70000000000005</v>
      </c>
      <c r="Y351" s="125"/>
      <c r="AA351" s="223">
        <v>0.625</v>
      </c>
      <c r="AB351" s="164">
        <v>305.5</v>
      </c>
      <c r="AC351" s="164">
        <v>301.39999999999998</v>
      </c>
      <c r="AD351" s="164">
        <v>301.2</v>
      </c>
      <c r="AE351" s="164">
        <v>303</v>
      </c>
      <c r="AF351" s="164">
        <v>307.5</v>
      </c>
      <c r="AG351" s="164">
        <v>300.89999999999998</v>
      </c>
      <c r="AH351" s="164">
        <v>303.5</v>
      </c>
      <c r="AI351" s="164" t="s">
        <v>690</v>
      </c>
    </row>
    <row r="352" spans="1:35" ht="30.6">
      <c r="A352" s="152">
        <v>44971</v>
      </c>
      <c r="B352" s="152"/>
      <c r="C352" s="700" t="s">
        <v>699</v>
      </c>
      <c r="D352" s="692">
        <v>20.7</v>
      </c>
      <c r="E352" s="692">
        <v>23.43</v>
      </c>
      <c r="F352" s="692">
        <v>21.15</v>
      </c>
      <c r="G352" s="692">
        <v>24.07</v>
      </c>
      <c r="H352" s="692">
        <v>24.12</v>
      </c>
      <c r="I352" s="692">
        <v>23.77</v>
      </c>
      <c r="J352" s="692"/>
      <c r="K352" s="692"/>
      <c r="L352" s="692"/>
      <c r="M352" s="692"/>
      <c r="N352" s="692"/>
      <c r="O352" s="692"/>
      <c r="P352" s="692"/>
      <c r="Q352" s="692"/>
      <c r="R352" s="692"/>
      <c r="T352" s="115"/>
      <c r="U352" s="125">
        <v>3.5000000000000003E-2</v>
      </c>
      <c r="V352" s="125">
        <v>1.3299999999999999E-2</v>
      </c>
      <c r="W352" s="125">
        <v>787.9</v>
      </c>
      <c r="X352" s="125">
        <v>616.6</v>
      </c>
      <c r="Y352" s="125"/>
    </row>
    <row r="353" spans="1:35" ht="30.6">
      <c r="A353" s="152">
        <v>44971</v>
      </c>
      <c r="B353" s="152"/>
      <c r="C353" s="700" t="s">
        <v>700</v>
      </c>
      <c r="D353" s="692">
        <v>20.7</v>
      </c>
      <c r="E353" s="692">
        <v>23.43</v>
      </c>
      <c r="F353" s="692">
        <v>21.15</v>
      </c>
      <c r="G353" s="692">
        <v>24.07</v>
      </c>
      <c r="H353" s="692">
        <v>24.12</v>
      </c>
      <c r="I353" s="692">
        <v>23.77</v>
      </c>
      <c r="J353" s="692"/>
      <c r="K353" s="692"/>
      <c r="L353" s="692"/>
      <c r="M353" s="692"/>
      <c r="N353" s="692"/>
      <c r="O353" s="692"/>
      <c r="P353" s="692"/>
      <c r="Q353" s="692"/>
      <c r="R353" s="692"/>
      <c r="T353" s="115"/>
      <c r="U353" s="125">
        <v>2.4199999999999999E-2</v>
      </c>
      <c r="V353" s="125">
        <v>2.0899999999999998E-2</v>
      </c>
      <c r="W353" s="125">
        <v>794.7</v>
      </c>
      <c r="X353" s="125">
        <v>607.79999999999995</v>
      </c>
      <c r="Y353" s="125"/>
    </row>
    <row r="354" spans="1:35" ht="20.45">
      <c r="A354" s="152">
        <v>44971</v>
      </c>
      <c r="B354" s="152"/>
      <c r="C354" s="700" t="s">
        <v>696</v>
      </c>
      <c r="D354" s="692">
        <v>20.7</v>
      </c>
      <c r="E354" s="692">
        <v>23.43</v>
      </c>
      <c r="F354" s="692">
        <v>21.15</v>
      </c>
      <c r="G354" s="692">
        <v>24.07</v>
      </c>
      <c r="H354" s="692">
        <v>24.12</v>
      </c>
      <c r="I354" s="692">
        <v>23.77</v>
      </c>
      <c r="J354" s="692"/>
      <c r="K354" s="692"/>
      <c r="L354" s="692"/>
      <c r="M354" s="692"/>
      <c r="N354" s="692"/>
      <c r="O354" s="692"/>
      <c r="P354" s="692"/>
      <c r="Q354" s="692"/>
      <c r="R354" s="692"/>
      <c r="T354" s="115"/>
      <c r="U354" s="125">
        <v>2.3900000000000001E-2</v>
      </c>
      <c r="V354" s="125">
        <v>1.6E-2</v>
      </c>
      <c r="W354" s="125">
        <v>791</v>
      </c>
      <c r="X354" s="125">
        <v>606.70000000000005</v>
      </c>
      <c r="Y354" s="125"/>
    </row>
    <row r="355" spans="1:35" ht="40.9">
      <c r="A355" s="152">
        <v>44971</v>
      </c>
      <c r="B355" s="152"/>
      <c r="C355" s="272" t="s">
        <v>701</v>
      </c>
      <c r="D355" s="692"/>
      <c r="E355" s="692"/>
      <c r="F355" s="692"/>
      <c r="G355" s="692"/>
      <c r="H355" s="692"/>
      <c r="I355" s="692"/>
      <c r="J355" s="692"/>
      <c r="K355" s="692"/>
      <c r="L355" s="692"/>
      <c r="M355" s="692"/>
      <c r="N355" s="692"/>
      <c r="O355" s="692"/>
      <c r="P355" s="692"/>
      <c r="Q355" s="692"/>
      <c r="R355" s="692"/>
      <c r="T355" s="115"/>
      <c r="U355" s="115"/>
      <c r="V355" s="115"/>
      <c r="W355" s="115"/>
      <c r="X355" s="115"/>
      <c r="Y355" s="115"/>
    </row>
    <row r="356" spans="1:35" ht="20.45">
      <c r="A356" s="152">
        <v>44971</v>
      </c>
      <c r="B356" s="152"/>
      <c r="C356" s="700" t="s">
        <v>702</v>
      </c>
      <c r="D356" s="692">
        <v>20.7</v>
      </c>
      <c r="E356" s="692">
        <v>23.43</v>
      </c>
      <c r="F356" s="692">
        <v>21.15</v>
      </c>
      <c r="G356" s="692">
        <v>24.07</v>
      </c>
      <c r="H356" s="692">
        <v>24.12</v>
      </c>
      <c r="I356" s="692">
        <v>23.77</v>
      </c>
      <c r="J356" s="692"/>
      <c r="K356" s="692"/>
      <c r="L356" s="692"/>
      <c r="M356" s="692"/>
      <c r="N356" s="692"/>
      <c r="O356" s="692"/>
      <c r="P356" s="692"/>
      <c r="Q356" s="692"/>
      <c r="R356" s="692"/>
      <c r="T356" s="115"/>
      <c r="U356" s="125">
        <v>2.5999999999999999E-2</v>
      </c>
      <c r="V356" s="125">
        <v>8.0999999999999996E-3</v>
      </c>
      <c r="W356" s="125">
        <v>784.7</v>
      </c>
      <c r="X356" s="125">
        <v>607.79999999999995</v>
      </c>
      <c r="Y356" s="125"/>
    </row>
    <row r="357" spans="1:35" ht="30.6">
      <c r="A357" s="152">
        <v>44971</v>
      </c>
      <c r="B357" s="152"/>
      <c r="C357" s="700" t="s">
        <v>703</v>
      </c>
      <c r="D357" s="692">
        <v>20.7</v>
      </c>
      <c r="E357" s="692">
        <v>23.43</v>
      </c>
      <c r="F357" s="692">
        <v>21.15</v>
      </c>
      <c r="G357" s="692">
        <v>24.07</v>
      </c>
      <c r="H357" s="692">
        <v>24.12</v>
      </c>
      <c r="I357" s="692">
        <v>23.77</v>
      </c>
      <c r="J357" s="692"/>
      <c r="K357" s="692"/>
      <c r="L357" s="692"/>
      <c r="M357" s="692"/>
      <c r="N357" s="692"/>
      <c r="O357" s="692"/>
      <c r="P357" s="692"/>
      <c r="Q357" s="692"/>
      <c r="R357" s="692"/>
      <c r="T357" s="115"/>
      <c r="U357" s="125">
        <v>1.6199999999999999E-2</v>
      </c>
      <c r="V357" s="125">
        <v>2.58E-2</v>
      </c>
      <c r="W357" s="125">
        <v>796.8</v>
      </c>
      <c r="X357" s="125">
        <v>602.79999999999995</v>
      </c>
      <c r="Y357" s="125"/>
    </row>
    <row r="358" spans="1:35" ht="30.6">
      <c r="A358" s="152">
        <v>44971</v>
      </c>
      <c r="B358" s="152"/>
      <c r="C358" s="700" t="s">
        <v>704</v>
      </c>
      <c r="D358" s="692">
        <v>20.7</v>
      </c>
      <c r="E358" s="692">
        <v>23.43</v>
      </c>
      <c r="F358" s="692">
        <v>21.15</v>
      </c>
      <c r="G358" s="692">
        <v>24.07</v>
      </c>
      <c r="H358" s="692">
        <v>24.12</v>
      </c>
      <c r="I358" s="692">
        <v>23.77</v>
      </c>
      <c r="J358" s="692"/>
      <c r="K358" s="692"/>
      <c r="L358" s="692"/>
      <c r="M358" s="692"/>
      <c r="N358" s="692"/>
      <c r="O358" s="692"/>
      <c r="P358" s="692"/>
      <c r="Q358" s="692"/>
      <c r="R358" s="692"/>
      <c r="T358" s="115"/>
      <c r="U358" s="125">
        <v>2.8400000000000002E-2</v>
      </c>
      <c r="V358" s="125">
        <v>8.0999999999999996E-3</v>
      </c>
      <c r="W358" s="125">
        <v>784.6</v>
      </c>
      <c r="X358" s="125">
        <v>610.79999999999995</v>
      </c>
      <c r="Y358" s="125"/>
    </row>
    <row r="359" spans="1:35" ht="30.6">
      <c r="A359" s="152">
        <v>44971</v>
      </c>
      <c r="B359" s="152"/>
      <c r="C359" s="700" t="s">
        <v>705</v>
      </c>
      <c r="D359" s="692"/>
      <c r="E359" s="692"/>
      <c r="F359" s="692"/>
      <c r="G359" s="692"/>
      <c r="H359" s="692"/>
      <c r="I359" s="692"/>
      <c r="J359" s="692"/>
      <c r="K359" s="692"/>
      <c r="L359" s="692"/>
      <c r="M359" s="692"/>
      <c r="N359" s="692"/>
      <c r="O359" s="692"/>
      <c r="P359" s="692"/>
      <c r="Q359" s="692"/>
      <c r="R359" s="692"/>
      <c r="T359" s="115"/>
      <c r="U359" s="125">
        <v>2.9399999999999999E-2</v>
      </c>
      <c r="V359" s="125">
        <v>7.0000000000000001E-3</v>
      </c>
      <c r="W359" s="125">
        <v>783.7</v>
      </c>
      <c r="X359" s="125">
        <v>611.79999999999995</v>
      </c>
      <c r="Y359" s="125"/>
      <c r="AA359" s="223">
        <v>0.6479166666666667</v>
      </c>
      <c r="AB359" s="164">
        <v>305.60000000000002</v>
      </c>
      <c r="AC359" s="164">
        <v>301.39999999999998</v>
      </c>
      <c r="AD359" s="164">
        <v>301.2</v>
      </c>
      <c r="AE359" s="164">
        <v>303</v>
      </c>
      <c r="AF359" s="164">
        <v>307.60000000000002</v>
      </c>
      <c r="AG359" s="164">
        <v>301</v>
      </c>
      <c r="AH359" s="164">
        <v>303.60000000000002</v>
      </c>
      <c r="AI359" s="164" t="s">
        <v>690</v>
      </c>
    </row>
    <row r="360" spans="1:35" ht="20.45">
      <c r="A360" s="152">
        <v>44971</v>
      </c>
      <c r="B360" s="152"/>
      <c r="C360" s="700" t="s">
        <v>706</v>
      </c>
      <c r="D360" s="692"/>
      <c r="E360" s="692"/>
      <c r="F360" s="692"/>
      <c r="G360" s="692"/>
      <c r="H360" s="692"/>
      <c r="I360" s="692"/>
      <c r="J360" s="692"/>
      <c r="K360" s="692"/>
      <c r="L360" s="692"/>
      <c r="M360" s="692"/>
      <c r="N360" s="692"/>
      <c r="O360" s="692"/>
      <c r="P360" s="692"/>
      <c r="Q360" s="692"/>
      <c r="R360" s="692"/>
      <c r="T360" s="115"/>
      <c r="U360" s="125"/>
      <c r="V360" s="125"/>
      <c r="W360" s="125">
        <v>787.8</v>
      </c>
      <c r="X360" s="125">
        <v>611.6</v>
      </c>
      <c r="Y360" s="125"/>
    </row>
    <row r="361" spans="1:35" ht="20.45">
      <c r="A361" s="152">
        <v>44971</v>
      </c>
      <c r="B361" s="152"/>
      <c r="C361" s="700" t="s">
        <v>707</v>
      </c>
      <c r="D361" s="692"/>
      <c r="E361" s="692"/>
      <c r="F361" s="692"/>
      <c r="G361" s="692"/>
      <c r="H361" s="692"/>
      <c r="I361" s="692"/>
      <c r="J361" s="692"/>
      <c r="K361" s="692"/>
      <c r="L361" s="692"/>
      <c r="M361" s="692"/>
      <c r="N361" s="692"/>
      <c r="O361" s="692"/>
      <c r="P361" s="692"/>
      <c r="Q361" s="692"/>
      <c r="R361" s="692"/>
      <c r="T361" s="115"/>
      <c r="U361" s="125"/>
      <c r="V361" s="125"/>
      <c r="W361" s="125">
        <v>788.7</v>
      </c>
      <c r="X361" s="125">
        <v>609.9</v>
      </c>
      <c r="Y361" s="125"/>
    </row>
    <row r="362" spans="1:35" ht="20.45">
      <c r="A362" s="152">
        <v>44971</v>
      </c>
      <c r="B362" s="152"/>
      <c r="C362" s="700" t="s">
        <v>707</v>
      </c>
      <c r="D362" s="692"/>
      <c r="E362" s="692"/>
      <c r="F362" s="692"/>
      <c r="G362" s="692"/>
      <c r="H362" s="692"/>
      <c r="I362" s="692"/>
      <c r="J362" s="692"/>
      <c r="K362" s="692"/>
      <c r="L362" s="692"/>
      <c r="M362" s="692"/>
      <c r="N362" s="692"/>
      <c r="O362" s="692"/>
      <c r="P362" s="692"/>
      <c r="Q362" s="692"/>
      <c r="R362" s="692"/>
      <c r="T362" s="115"/>
      <c r="U362" s="125"/>
      <c r="V362" s="125"/>
      <c r="W362" s="125">
        <v>788.6</v>
      </c>
      <c r="X362" s="125">
        <v>610.79999999999995</v>
      </c>
      <c r="Y362" s="125"/>
    </row>
    <row r="363" spans="1:35" ht="30.6">
      <c r="A363" s="152">
        <v>44971</v>
      </c>
      <c r="B363" s="152"/>
      <c r="C363" s="700" t="s">
        <v>705</v>
      </c>
      <c r="D363" s="692"/>
      <c r="E363" s="692"/>
      <c r="F363" s="692"/>
      <c r="G363" s="692"/>
      <c r="H363" s="692"/>
      <c r="I363" s="692"/>
      <c r="J363" s="692"/>
      <c r="K363" s="692"/>
      <c r="L363" s="692"/>
      <c r="M363" s="692"/>
      <c r="N363" s="692"/>
      <c r="O363" s="692"/>
      <c r="P363" s="692"/>
      <c r="Q363" s="692"/>
      <c r="R363" s="692"/>
      <c r="T363" s="115"/>
      <c r="U363" s="125"/>
      <c r="V363" s="125"/>
      <c r="W363" s="125">
        <v>789.7</v>
      </c>
      <c r="X363" s="125">
        <v>609.79999999999995</v>
      </c>
      <c r="Y363" s="125"/>
    </row>
    <row r="364" spans="1:35" ht="30.6">
      <c r="A364" s="152">
        <v>44971</v>
      </c>
      <c r="B364" s="152"/>
      <c r="C364" s="700" t="s">
        <v>705</v>
      </c>
      <c r="D364" s="692"/>
      <c r="E364" s="692"/>
      <c r="F364" s="692"/>
      <c r="G364" s="692"/>
      <c r="H364" s="692"/>
      <c r="I364" s="692"/>
      <c r="J364" s="692"/>
      <c r="K364" s="692"/>
      <c r="L364" s="692"/>
      <c r="M364" s="692"/>
      <c r="N364" s="692"/>
      <c r="O364" s="692"/>
      <c r="P364" s="692"/>
      <c r="Q364" s="692"/>
      <c r="R364" s="692"/>
      <c r="T364" s="115"/>
      <c r="U364" s="125"/>
      <c r="V364" s="125"/>
      <c r="W364" s="125">
        <v>790.4</v>
      </c>
      <c r="X364" s="125">
        <v>609.66</v>
      </c>
      <c r="Y364" s="125"/>
    </row>
    <row r="365" spans="1:35" ht="30.6">
      <c r="A365" s="152">
        <v>44971</v>
      </c>
      <c r="B365" s="152"/>
      <c r="C365" s="700" t="s">
        <v>705</v>
      </c>
      <c r="D365" s="692"/>
      <c r="E365" s="692"/>
      <c r="F365" s="692"/>
      <c r="G365" s="692"/>
      <c r="H365" s="692"/>
      <c r="I365" s="692"/>
      <c r="J365" s="692"/>
      <c r="K365" s="692"/>
      <c r="L365" s="692"/>
      <c r="M365" s="692"/>
      <c r="N365" s="692"/>
      <c r="O365" s="692"/>
      <c r="P365" s="692"/>
      <c r="Q365" s="692"/>
      <c r="R365" s="692"/>
      <c r="T365" s="115"/>
      <c r="U365" s="125"/>
      <c r="V365" s="125"/>
      <c r="W365" s="125">
        <v>790.5</v>
      </c>
      <c r="X365" s="125">
        <v>609.6</v>
      </c>
      <c r="Y365" s="125"/>
    </row>
    <row r="366" spans="1:35" ht="20.45">
      <c r="A366" s="152">
        <v>44971</v>
      </c>
      <c r="B366" s="152"/>
      <c r="C366" s="700" t="s">
        <v>708</v>
      </c>
      <c r="D366" s="128">
        <v>20.57</v>
      </c>
      <c r="E366" s="128">
        <v>23.83</v>
      </c>
      <c r="F366" s="128">
        <v>21.701000000000001</v>
      </c>
      <c r="G366" s="128">
        <v>23.94</v>
      </c>
      <c r="H366" s="128">
        <v>24.12</v>
      </c>
      <c r="I366" s="128">
        <v>23.77</v>
      </c>
      <c r="J366" s="692"/>
      <c r="K366" s="692"/>
      <c r="L366" s="692"/>
      <c r="M366" s="692"/>
      <c r="N366" s="692"/>
      <c r="O366" s="692"/>
      <c r="P366" s="692"/>
      <c r="Q366" s="692"/>
      <c r="R366" s="692"/>
      <c r="S366" s="291">
        <v>81032</v>
      </c>
      <c r="T366" s="692"/>
      <c r="U366" s="692"/>
      <c r="V366" s="692"/>
      <c r="W366" s="128">
        <v>807.7</v>
      </c>
      <c r="X366" s="128">
        <v>601.6</v>
      </c>
      <c r="Y366" s="128"/>
    </row>
    <row r="367" spans="1:35">
      <c r="A367" s="152">
        <v>44971</v>
      </c>
      <c r="B367" s="152"/>
      <c r="C367" s="700"/>
      <c r="D367" s="128">
        <v>20.57</v>
      </c>
      <c r="E367" s="128">
        <v>23.83</v>
      </c>
      <c r="F367" s="128">
        <v>21.701000000000001</v>
      </c>
      <c r="G367" s="128">
        <v>23.94</v>
      </c>
      <c r="H367" s="128">
        <v>24.12</v>
      </c>
      <c r="I367" s="128">
        <v>23.77</v>
      </c>
      <c r="J367" s="692"/>
      <c r="K367" s="692"/>
      <c r="L367" s="692"/>
      <c r="M367" s="692"/>
      <c r="N367" s="692"/>
      <c r="O367" s="692"/>
      <c r="P367" s="692"/>
      <c r="Q367" s="692"/>
      <c r="R367" s="692">
        <v>4.0315640000000004</v>
      </c>
      <c r="S367" s="291">
        <v>81341</v>
      </c>
      <c r="T367" s="692"/>
      <c r="U367" s="128">
        <v>5.0000000000000001E-3</v>
      </c>
      <c r="V367" s="128">
        <v>4.0000000000000001E-3</v>
      </c>
      <c r="W367" s="692"/>
      <c r="X367" s="692"/>
      <c r="Y367" s="692"/>
    </row>
    <row r="368" spans="1:35" ht="20.45">
      <c r="A368" s="152">
        <v>44971</v>
      </c>
      <c r="B368" s="152"/>
      <c r="C368" s="700" t="s">
        <v>709</v>
      </c>
      <c r="D368" s="692"/>
      <c r="E368" s="692"/>
      <c r="F368" s="692"/>
      <c r="G368" s="692"/>
      <c r="H368" s="692"/>
      <c r="I368" s="692"/>
      <c r="J368" s="692"/>
      <c r="K368" s="692"/>
      <c r="L368" s="692"/>
      <c r="M368" s="692">
        <v>8.6999999999999994E-2</v>
      </c>
      <c r="N368" s="692">
        <v>5.9499999999999997E-2</v>
      </c>
      <c r="O368" s="692"/>
      <c r="P368" s="692"/>
      <c r="Q368" s="692"/>
      <c r="R368" s="692">
        <v>3.4590700000000001</v>
      </c>
      <c r="T368" s="692"/>
      <c r="U368" s="692"/>
      <c r="V368" s="692"/>
      <c r="W368" s="692"/>
      <c r="X368" s="692"/>
      <c r="Y368" s="692"/>
    </row>
    <row r="369" spans="1:35">
      <c r="A369" s="152">
        <v>44971</v>
      </c>
      <c r="B369" s="152"/>
      <c r="C369" s="700" t="s">
        <v>31</v>
      </c>
      <c r="D369" s="692"/>
      <c r="E369" s="692"/>
      <c r="F369" s="692"/>
      <c r="G369" s="692"/>
      <c r="H369" s="692"/>
      <c r="I369" s="692"/>
      <c r="J369" s="692">
        <v>101.5</v>
      </c>
      <c r="K369" s="692">
        <v>125.7</v>
      </c>
      <c r="L369" s="692">
        <v>0</v>
      </c>
      <c r="M369" s="128">
        <v>0.09</v>
      </c>
      <c r="N369" s="128">
        <v>0.06</v>
      </c>
      <c r="O369" s="692" t="s">
        <v>70</v>
      </c>
      <c r="P369" s="692"/>
      <c r="Q369" s="692"/>
      <c r="R369" s="692"/>
      <c r="S369" s="291">
        <v>11249</v>
      </c>
      <c r="T369" s="692"/>
      <c r="U369" s="128">
        <v>-5.0000000000000001E-3</v>
      </c>
      <c r="V369" s="128">
        <v>-8.0000000000000002E-3</v>
      </c>
      <c r="W369" s="692"/>
      <c r="X369" s="692"/>
      <c r="Y369" s="692"/>
    </row>
    <row r="370" spans="1:35" ht="20.45">
      <c r="A370" s="152">
        <v>44971</v>
      </c>
      <c r="B370" s="152"/>
      <c r="C370" s="700" t="s">
        <v>710</v>
      </c>
      <c r="D370" s="692"/>
      <c r="E370" s="692"/>
      <c r="F370" s="692"/>
      <c r="G370" s="692"/>
      <c r="H370" s="692"/>
      <c r="I370" s="692"/>
      <c r="J370" s="692">
        <v>67.7</v>
      </c>
      <c r="K370" s="692">
        <v>103.4</v>
      </c>
      <c r="L370" s="692">
        <v>0</v>
      </c>
      <c r="M370" s="692">
        <v>0.09</v>
      </c>
      <c r="N370" s="692">
        <v>0.06</v>
      </c>
      <c r="O370" s="692"/>
      <c r="P370" s="692"/>
      <c r="Q370" s="692">
        <v>17</v>
      </c>
      <c r="R370" s="692">
        <v>3.4590429999999999</v>
      </c>
      <c r="T370" s="692"/>
      <c r="U370" s="692"/>
      <c r="V370" s="692"/>
      <c r="W370" s="692"/>
      <c r="X370" s="692"/>
      <c r="Y370" s="692"/>
    </row>
    <row r="371" spans="1:35">
      <c r="A371" s="152">
        <v>44971</v>
      </c>
      <c r="B371" s="152"/>
      <c r="C371" s="700" t="s">
        <v>32</v>
      </c>
      <c r="D371" s="692"/>
      <c r="E371" s="692"/>
      <c r="F371" s="692"/>
      <c r="G371" s="692"/>
      <c r="H371" s="692"/>
      <c r="I371" s="692"/>
      <c r="J371" s="692">
        <v>88.49</v>
      </c>
      <c r="K371" s="692">
        <v>108.4</v>
      </c>
      <c r="L371" s="692">
        <v>0</v>
      </c>
      <c r="M371" s="692">
        <v>0.09</v>
      </c>
      <c r="N371" s="692">
        <v>0.06</v>
      </c>
      <c r="O371" s="168">
        <v>1131</v>
      </c>
      <c r="P371" s="692"/>
      <c r="Q371" s="692"/>
      <c r="R371" s="692"/>
      <c r="S371" s="291">
        <v>13156</v>
      </c>
      <c r="T371" s="692"/>
      <c r="U371" s="692"/>
      <c r="V371" s="692"/>
      <c r="W371" s="692">
        <v>808</v>
      </c>
      <c r="X371" s="692">
        <v>602</v>
      </c>
      <c r="Y371" s="692"/>
    </row>
    <row r="372" spans="1:35" ht="21.6">
      <c r="A372" s="126" t="s">
        <v>0</v>
      </c>
      <c r="B372" s="126"/>
      <c r="C372" s="272" t="s">
        <v>375</v>
      </c>
      <c r="D372" s="750" t="s">
        <v>6</v>
      </c>
      <c r="E372" s="750"/>
      <c r="F372" s="750" t="s">
        <v>7</v>
      </c>
      <c r="G372" s="750"/>
      <c r="H372" s="750" t="s">
        <v>8</v>
      </c>
      <c r="I372" s="750"/>
      <c r="J372" s="696" t="s">
        <v>629</v>
      </c>
      <c r="K372" s="696" t="s">
        <v>630</v>
      </c>
      <c r="L372" s="696" t="s">
        <v>631</v>
      </c>
      <c r="M372" s="696" t="s">
        <v>632</v>
      </c>
      <c r="N372" s="696" t="s">
        <v>633</v>
      </c>
      <c r="O372" s="696" t="s">
        <v>14</v>
      </c>
      <c r="P372" s="696" t="s">
        <v>595</v>
      </c>
      <c r="Q372" s="696" t="s">
        <v>15</v>
      </c>
      <c r="R372" s="696" t="s">
        <v>16</v>
      </c>
      <c r="S372" s="303" t="s">
        <v>17</v>
      </c>
      <c r="T372" s="126" t="s">
        <v>419</v>
      </c>
      <c r="U372" s="203" t="s">
        <v>420</v>
      </c>
      <c r="V372" s="203" t="s">
        <v>421</v>
      </c>
      <c r="W372" s="126" t="s">
        <v>422</v>
      </c>
      <c r="X372" s="126" t="s">
        <v>423</v>
      </c>
      <c r="Y372" s="126"/>
    </row>
    <row r="373" spans="1:35" ht="20.45">
      <c r="A373" s="152">
        <v>44972</v>
      </c>
      <c r="B373" s="152"/>
      <c r="C373" s="700" t="s">
        <v>711</v>
      </c>
      <c r="D373" s="692"/>
      <c r="E373" s="692"/>
      <c r="F373" s="692"/>
      <c r="G373" s="692"/>
      <c r="H373" s="692"/>
      <c r="I373" s="692"/>
      <c r="J373" s="206">
        <v>101.5</v>
      </c>
      <c r="K373" s="206">
        <v>125.70699999999999</v>
      </c>
      <c r="L373" s="207">
        <v>0</v>
      </c>
      <c r="M373" s="207">
        <v>0.09</v>
      </c>
      <c r="N373" s="207">
        <v>0.06</v>
      </c>
      <c r="O373" s="197" t="s">
        <v>68</v>
      </c>
      <c r="P373" s="692"/>
      <c r="Q373" s="692"/>
      <c r="R373" s="692"/>
      <c r="T373" s="115"/>
      <c r="U373" s="202">
        <v>-4.1999999999999997E-3</v>
      </c>
      <c r="V373" s="202">
        <v>-1.0699999999999999E-2</v>
      </c>
      <c r="W373" s="115"/>
      <c r="X373" s="115"/>
      <c r="Y373" s="115"/>
      <c r="AA373" s="224">
        <v>0.41875000000000001</v>
      </c>
      <c r="AB373" s="164">
        <v>302.2</v>
      </c>
      <c r="AC373" s="164">
        <v>300.39999999999998</v>
      </c>
      <c r="AD373" s="164">
        <v>300.10000000000002</v>
      </c>
      <c r="AE373" s="164">
        <v>300.89999999999998</v>
      </c>
      <c r="AF373" s="164">
        <v>302.39999999999998</v>
      </c>
      <c r="AG373" s="164">
        <v>299.5</v>
      </c>
      <c r="AH373" s="164">
        <v>300.10000000000002</v>
      </c>
      <c r="AI373" s="164" t="s">
        <v>690</v>
      </c>
    </row>
    <row r="374" spans="1:35" ht="20.45">
      <c r="A374" s="152">
        <v>44972</v>
      </c>
      <c r="B374" s="152"/>
      <c r="C374" s="700" t="s">
        <v>712</v>
      </c>
      <c r="D374" s="692"/>
      <c r="E374" s="692"/>
      <c r="F374" s="692"/>
      <c r="G374" s="692"/>
      <c r="H374" s="692"/>
      <c r="I374" s="692"/>
      <c r="J374" s="206">
        <v>101.5</v>
      </c>
      <c r="K374" s="206">
        <v>125.70699999999999</v>
      </c>
      <c r="L374" s="207">
        <v>0</v>
      </c>
      <c r="M374" s="207">
        <v>0.10680000000000001</v>
      </c>
      <c r="N374" s="207">
        <v>6.6500000000000004E-2</v>
      </c>
      <c r="O374" s="197" t="s">
        <v>68</v>
      </c>
      <c r="P374" s="692"/>
      <c r="Q374" s="692"/>
      <c r="R374" s="692"/>
      <c r="S374" s="301">
        <v>3043</v>
      </c>
      <c r="T374" s="115"/>
      <c r="U374" s="202">
        <v>4.7999999999999996E-3</v>
      </c>
      <c r="V374" s="202">
        <v>3.8999999999999998E-3</v>
      </c>
      <c r="W374" s="115"/>
      <c r="X374" s="115"/>
      <c r="Y374" s="115"/>
      <c r="AA374" s="224"/>
    </row>
    <row r="375" spans="1:35">
      <c r="A375" s="152">
        <v>44972</v>
      </c>
      <c r="B375" s="152"/>
      <c r="C375" s="700" t="s">
        <v>683</v>
      </c>
      <c r="D375" s="692"/>
      <c r="E375" s="692"/>
      <c r="F375" s="692"/>
      <c r="G375" s="692"/>
      <c r="H375" s="692"/>
      <c r="I375" s="692"/>
      <c r="J375" s="206">
        <v>88.583699999999993</v>
      </c>
      <c r="K375" s="206">
        <v>108.298</v>
      </c>
      <c r="L375" s="207">
        <v>-1.5E-3</v>
      </c>
      <c r="M375" s="207">
        <v>0.106895</v>
      </c>
      <c r="N375" s="207">
        <v>6.6600000000000006E-2</v>
      </c>
      <c r="O375" s="199">
        <v>1124</v>
      </c>
      <c r="P375" s="692"/>
      <c r="Q375" s="692"/>
      <c r="R375" s="692"/>
      <c r="S375" s="301">
        <v>4216</v>
      </c>
      <c r="T375" s="115"/>
      <c r="U375" s="115"/>
      <c r="V375" s="115"/>
      <c r="W375" s="125">
        <v>807.7</v>
      </c>
      <c r="X375" s="125">
        <v>602.6</v>
      </c>
      <c r="Y375" s="125"/>
    </row>
    <row r="376" spans="1:35">
      <c r="A376" s="152">
        <v>44972</v>
      </c>
      <c r="B376" s="152"/>
      <c r="C376" s="700" t="s">
        <v>684</v>
      </c>
      <c r="D376" s="692"/>
      <c r="E376" s="692"/>
      <c r="F376" s="692"/>
      <c r="G376" s="692"/>
      <c r="H376" s="692"/>
      <c r="I376" s="692"/>
      <c r="J376" s="206">
        <v>97.577500000000001</v>
      </c>
      <c r="K376" s="206">
        <v>108.298</v>
      </c>
      <c r="L376" s="207">
        <v>-1.4E-3</v>
      </c>
      <c r="M376" s="207">
        <v>0.10689</v>
      </c>
      <c r="N376" s="207">
        <v>6.6600000000000006E-2</v>
      </c>
      <c r="O376" s="199">
        <v>1124</v>
      </c>
      <c r="P376" s="692"/>
      <c r="Q376" s="692"/>
      <c r="R376" s="208"/>
      <c r="S376" s="301">
        <v>4453</v>
      </c>
      <c r="T376" s="115"/>
      <c r="U376" s="115"/>
      <c r="V376" s="115"/>
      <c r="W376" s="125">
        <v>961.7</v>
      </c>
      <c r="X376" s="125">
        <v>492.8</v>
      </c>
      <c r="Y376" s="125"/>
      <c r="Z376" s="163">
        <f>W376-W375</f>
        <v>154</v>
      </c>
      <c r="AA376" s="164">
        <f>X376-X375</f>
        <v>-109.80000000000001</v>
      </c>
    </row>
    <row r="377" spans="1:35">
      <c r="A377" s="152">
        <v>44972</v>
      </c>
      <c r="B377" s="152"/>
      <c r="C377" s="700" t="s">
        <v>686</v>
      </c>
      <c r="D377" s="692"/>
      <c r="E377" s="692"/>
      <c r="F377" s="692"/>
      <c r="G377" s="692"/>
      <c r="H377" s="692"/>
      <c r="I377" s="692"/>
      <c r="J377" s="206">
        <v>79.591999999999999</v>
      </c>
      <c r="K377" s="206">
        <v>108.298</v>
      </c>
      <c r="L377" s="207">
        <v>-1.8E-3</v>
      </c>
      <c r="M377" s="207">
        <v>0.10689</v>
      </c>
      <c r="N377" s="207">
        <v>6.6600000000000006E-2</v>
      </c>
      <c r="O377" s="199">
        <v>1124</v>
      </c>
      <c r="P377" s="692"/>
      <c r="Q377" s="692"/>
      <c r="R377" s="208"/>
      <c r="S377" s="301">
        <v>4614</v>
      </c>
      <c r="T377" s="115"/>
      <c r="U377" s="115"/>
      <c r="V377" s="115"/>
      <c r="W377" s="125">
        <v>653.70000000000005</v>
      </c>
      <c r="X377" s="125">
        <v>710.9</v>
      </c>
      <c r="Y377" s="125"/>
      <c r="AA377" s="164">
        <f>SQRT(Z376^2+AA376^2)</f>
        <v>189.13497825627073</v>
      </c>
    </row>
    <row r="378" spans="1:35">
      <c r="A378" s="152">
        <v>44972</v>
      </c>
      <c r="B378" s="152"/>
      <c r="C378" s="700" t="s">
        <v>687</v>
      </c>
      <c r="D378" s="692"/>
      <c r="E378" s="692"/>
      <c r="F378" s="692"/>
      <c r="G378" s="692"/>
      <c r="H378" s="692"/>
      <c r="I378" s="692"/>
      <c r="J378" s="206">
        <v>88.578199999999995</v>
      </c>
      <c r="K378" s="206">
        <v>117.297</v>
      </c>
      <c r="L378" s="207">
        <v>-1.5E-3</v>
      </c>
      <c r="M378" s="207">
        <v>0.10686</v>
      </c>
      <c r="N378" s="207">
        <v>6.6600000000000006E-2</v>
      </c>
      <c r="O378" s="199">
        <v>1124</v>
      </c>
      <c r="P378" s="692"/>
      <c r="Q378" s="692"/>
      <c r="R378" s="208"/>
      <c r="S378" s="301">
        <v>4744</v>
      </c>
      <c r="T378" s="115"/>
      <c r="U378" s="115"/>
      <c r="V378" s="115"/>
      <c r="W378" s="125">
        <v>700.7</v>
      </c>
      <c r="X378" s="125">
        <v>450.9</v>
      </c>
      <c r="Y378" s="125"/>
      <c r="AA378" s="164">
        <f>9/AA377</f>
        <v>4.7585063762268981E-2</v>
      </c>
    </row>
    <row r="379" spans="1:35">
      <c r="A379" s="152">
        <v>44972</v>
      </c>
      <c r="B379" s="152"/>
      <c r="C379" s="700" t="s">
        <v>688</v>
      </c>
      <c r="D379" s="692"/>
      <c r="E379" s="692"/>
      <c r="F379" s="692"/>
      <c r="G379" s="692"/>
      <c r="H379" s="692"/>
      <c r="I379" s="692"/>
      <c r="J379" s="206">
        <v>88.578400000000002</v>
      </c>
      <c r="K379" s="206">
        <v>99.297700000000006</v>
      </c>
      <c r="L379" s="207">
        <v>-1.6000000000000001E-3</v>
      </c>
      <c r="M379" s="207">
        <v>0.10693999999999999</v>
      </c>
      <c r="N379" s="207">
        <v>6.6600000000000006E-2</v>
      </c>
      <c r="O379" s="199">
        <v>1124</v>
      </c>
      <c r="P379" s="692"/>
      <c r="Q379" s="692"/>
      <c r="R379" s="208"/>
      <c r="S379" s="301">
        <v>4916</v>
      </c>
      <c r="T379" s="115"/>
      <c r="U379" s="115"/>
      <c r="V379" s="115"/>
      <c r="W379" s="125">
        <v>914.6</v>
      </c>
      <c r="X379" s="125">
        <v>752.9</v>
      </c>
      <c r="Y379" s="125"/>
    </row>
    <row r="380" spans="1:35" ht="20.45">
      <c r="A380" s="152">
        <v>44972</v>
      </c>
      <c r="B380" s="152"/>
      <c r="C380" s="700" t="s">
        <v>713</v>
      </c>
      <c r="D380" s="692"/>
      <c r="E380" s="692"/>
      <c r="F380" s="692"/>
      <c r="G380" s="692"/>
      <c r="H380" s="692"/>
      <c r="I380" s="692"/>
      <c r="J380" s="206">
        <v>88.578400000000002</v>
      </c>
      <c r="K380" s="206">
        <v>108.297</v>
      </c>
      <c r="L380" s="207">
        <v>-1.65E-3</v>
      </c>
      <c r="M380" s="207">
        <v>0.10692</v>
      </c>
      <c r="N380" s="207">
        <v>6.6600000000000006E-2</v>
      </c>
      <c r="O380" s="199">
        <v>1124</v>
      </c>
      <c r="P380" s="692"/>
      <c r="Q380" s="692"/>
      <c r="R380" s="692"/>
      <c r="S380" s="301">
        <v>5051</v>
      </c>
      <c r="T380" s="115"/>
      <c r="U380" s="115"/>
      <c r="V380" s="115"/>
      <c r="W380" s="125">
        <v>807.6</v>
      </c>
      <c r="X380" s="125">
        <v>601.9</v>
      </c>
      <c r="Y380" s="125"/>
      <c r="AA380" s="224">
        <v>0.45208333333333334</v>
      </c>
      <c r="AB380" s="164">
        <v>303.60000000000002</v>
      </c>
      <c r="AC380" s="164">
        <v>300.7</v>
      </c>
      <c r="AD380" s="164">
        <v>300.5</v>
      </c>
      <c r="AE380" s="164">
        <v>301.7</v>
      </c>
      <c r="AF380" s="164">
        <v>305.7</v>
      </c>
      <c r="AG380" s="164">
        <v>299.89999999999998</v>
      </c>
      <c r="AH380" s="164">
        <v>301.7</v>
      </c>
      <c r="AI380" s="164" t="s">
        <v>690</v>
      </c>
    </row>
    <row r="381" spans="1:35" ht="20.45">
      <c r="A381" s="152">
        <v>44972</v>
      </c>
      <c r="B381" s="152"/>
      <c r="C381" s="700" t="s">
        <v>714</v>
      </c>
      <c r="D381" s="692"/>
      <c r="E381" s="692"/>
      <c r="F381" s="692"/>
      <c r="G381" s="692"/>
      <c r="H381" s="692"/>
      <c r="I381" s="692"/>
      <c r="J381" s="206">
        <v>88.578500000000005</v>
      </c>
      <c r="K381" s="206">
        <v>108.297</v>
      </c>
      <c r="L381" s="207">
        <v>-1.6999999999999999E-3</v>
      </c>
      <c r="M381" s="207">
        <v>0.1069</v>
      </c>
      <c r="N381" s="207">
        <v>6.6600000000000006E-2</v>
      </c>
      <c r="O381" s="199">
        <v>1124</v>
      </c>
      <c r="P381" s="692"/>
      <c r="Q381" s="692"/>
      <c r="R381" s="692"/>
      <c r="S381" s="301">
        <v>5532</v>
      </c>
      <c r="T381" s="115"/>
      <c r="U381" s="115"/>
      <c r="V381" s="115"/>
      <c r="W381" s="125">
        <v>807.7</v>
      </c>
      <c r="X381" s="125">
        <v>601.9</v>
      </c>
      <c r="Y381" s="125"/>
      <c r="AA381" s="224">
        <v>0.45555555555555555</v>
      </c>
    </row>
    <row r="382" spans="1:35" ht="20.45">
      <c r="A382" s="152">
        <v>44972</v>
      </c>
      <c r="B382" s="152"/>
      <c r="C382" s="700" t="s">
        <v>714</v>
      </c>
      <c r="D382" s="692"/>
      <c r="E382" s="692"/>
      <c r="F382" s="692"/>
      <c r="G382" s="692"/>
      <c r="H382" s="692"/>
      <c r="I382" s="692"/>
      <c r="J382" s="206">
        <v>88.578599999999994</v>
      </c>
      <c r="K382" s="206">
        <v>108.297</v>
      </c>
      <c r="L382" s="207">
        <v>-1.6999999999999999E-3</v>
      </c>
      <c r="M382" s="207">
        <v>0.1069</v>
      </c>
      <c r="N382" s="207">
        <v>6.6600000000000006E-2</v>
      </c>
      <c r="O382" s="199">
        <v>1124</v>
      </c>
      <c r="P382" s="692"/>
      <c r="Q382" s="692"/>
      <c r="R382" s="208"/>
      <c r="S382" s="301">
        <v>5957</v>
      </c>
      <c r="T382" s="115"/>
      <c r="U382" s="115"/>
      <c r="V382" s="115"/>
      <c r="W382" s="125">
        <v>807.6</v>
      </c>
      <c r="X382" s="125">
        <v>602.5</v>
      </c>
      <c r="Y382" s="125"/>
      <c r="AA382" s="224">
        <v>0.45833333333333331</v>
      </c>
    </row>
    <row r="383" spans="1:35" ht="20.45">
      <c r="A383" s="152">
        <v>44972</v>
      </c>
      <c r="B383" s="152"/>
      <c r="C383" s="700" t="s">
        <v>714</v>
      </c>
      <c r="D383" s="692"/>
      <c r="E383" s="692"/>
      <c r="F383" s="692"/>
      <c r="G383" s="692"/>
      <c r="H383" s="692"/>
      <c r="I383" s="692"/>
      <c r="J383" s="206">
        <v>88.578699999999998</v>
      </c>
      <c r="K383" s="206">
        <v>108.297</v>
      </c>
      <c r="L383" s="207">
        <v>-1.6000000000000001E-3</v>
      </c>
      <c r="M383" s="207">
        <v>0.1069</v>
      </c>
      <c r="N383" s="207">
        <v>6.6600000000000006E-2</v>
      </c>
      <c r="O383" s="199">
        <v>1124</v>
      </c>
      <c r="P383" s="692"/>
      <c r="Q383" s="692"/>
      <c r="R383" s="208"/>
      <c r="S383" s="301">
        <v>10723</v>
      </c>
      <c r="T383" s="115"/>
      <c r="U383" s="115"/>
      <c r="V383" s="115"/>
      <c r="W383" s="125">
        <v>807.6</v>
      </c>
      <c r="X383" s="125">
        <v>601.79999999999995</v>
      </c>
      <c r="Y383" s="125"/>
      <c r="AA383" s="224">
        <v>0.46388888888888885</v>
      </c>
    </row>
    <row r="384" spans="1:35" ht="20.45">
      <c r="A384" s="152">
        <v>44972</v>
      </c>
      <c r="B384" s="152"/>
      <c r="C384" s="700" t="s">
        <v>714</v>
      </c>
      <c r="D384" s="692"/>
      <c r="E384" s="692"/>
      <c r="F384" s="692"/>
      <c r="G384" s="692"/>
      <c r="H384" s="692"/>
      <c r="I384" s="692"/>
      <c r="J384" s="206">
        <v>88.578800000000001</v>
      </c>
      <c r="K384" s="206">
        <v>108.297</v>
      </c>
      <c r="L384" s="207">
        <v>-1.5E-3</v>
      </c>
      <c r="M384" s="207">
        <v>0.1069</v>
      </c>
      <c r="N384" s="207">
        <v>6.6600000000000006E-2</v>
      </c>
      <c r="O384" s="199">
        <v>1124</v>
      </c>
      <c r="P384" s="692"/>
      <c r="Q384" s="692"/>
      <c r="R384" s="692"/>
      <c r="S384" s="301">
        <v>11347</v>
      </c>
      <c r="T384" s="115"/>
      <c r="U384" s="115"/>
      <c r="V384" s="115"/>
      <c r="W384" s="125">
        <v>807.6</v>
      </c>
      <c r="X384" s="125">
        <v>601.79999999999995</v>
      </c>
      <c r="Y384" s="125"/>
      <c r="AA384" s="224">
        <v>0.46736111111111112</v>
      </c>
    </row>
    <row r="385" spans="1:35" ht="20.45">
      <c r="A385" s="152">
        <v>44972</v>
      </c>
      <c r="B385" s="152"/>
      <c r="C385" s="700" t="s">
        <v>714</v>
      </c>
      <c r="D385" s="692"/>
      <c r="E385" s="692"/>
      <c r="F385" s="692"/>
      <c r="G385" s="692"/>
      <c r="H385" s="692"/>
      <c r="I385" s="692"/>
      <c r="J385" s="206">
        <v>88.578800000000001</v>
      </c>
      <c r="K385" s="206">
        <v>108.297</v>
      </c>
      <c r="L385" s="207">
        <v>-1.5E-3</v>
      </c>
      <c r="M385" s="207">
        <v>0.1069</v>
      </c>
      <c r="N385" s="207">
        <v>6.6600000000000006E-2</v>
      </c>
      <c r="O385" s="199">
        <v>1124</v>
      </c>
      <c r="P385" s="692"/>
      <c r="Q385" s="692"/>
      <c r="R385" s="692"/>
      <c r="S385" s="301">
        <v>11638</v>
      </c>
      <c r="T385" s="115"/>
      <c r="U385" s="115"/>
      <c r="V385" s="115"/>
      <c r="W385" s="125">
        <v>807.6</v>
      </c>
      <c r="X385" s="125">
        <v>601.79999999999995</v>
      </c>
      <c r="Y385" s="125"/>
      <c r="AA385" s="224">
        <v>0.47013888888888888</v>
      </c>
    </row>
    <row r="386" spans="1:35" ht="20.45">
      <c r="A386" s="152">
        <v>44972</v>
      </c>
      <c r="B386" s="152"/>
      <c r="C386" s="700" t="s">
        <v>714</v>
      </c>
      <c r="D386" s="692"/>
      <c r="E386" s="692"/>
      <c r="F386" s="692"/>
      <c r="G386" s="692"/>
      <c r="H386" s="692"/>
      <c r="I386" s="692"/>
      <c r="J386" s="206">
        <v>88.578800000000001</v>
      </c>
      <c r="K386" s="206">
        <v>108.297</v>
      </c>
      <c r="L386" s="207">
        <v>-1.6000000000000001E-3</v>
      </c>
      <c r="M386" s="207">
        <v>0.1069</v>
      </c>
      <c r="N386" s="207">
        <v>6.6600000000000006E-2</v>
      </c>
      <c r="O386" s="199">
        <v>1124</v>
      </c>
      <c r="P386" s="692"/>
      <c r="Q386" s="692"/>
      <c r="R386" s="208"/>
      <c r="S386" s="301">
        <v>12504</v>
      </c>
      <c r="T386" s="115"/>
      <c r="U386" s="115"/>
      <c r="V386" s="115"/>
      <c r="W386" s="125">
        <v>807.7</v>
      </c>
      <c r="X386" s="125">
        <v>601.70000000000005</v>
      </c>
      <c r="Y386" s="125"/>
      <c r="AA386" s="224">
        <v>0.47638888888888892</v>
      </c>
      <c r="AB386" s="164">
        <v>304.3</v>
      </c>
      <c r="AC386" s="164">
        <v>300.8</v>
      </c>
      <c r="AD386" s="164">
        <v>300.7</v>
      </c>
      <c r="AE386" s="164">
        <v>302.10000000000002</v>
      </c>
      <c r="AF386" s="164">
        <v>306.3</v>
      </c>
      <c r="AG386" s="164">
        <v>300.2</v>
      </c>
      <c r="AH386" s="164">
        <v>302.3</v>
      </c>
      <c r="AI386" s="164" t="s">
        <v>690</v>
      </c>
    </row>
    <row r="387" spans="1:35" ht="20.45">
      <c r="A387" s="152">
        <v>44972</v>
      </c>
      <c r="B387" s="152"/>
      <c r="C387" s="700" t="s">
        <v>714</v>
      </c>
      <c r="D387" s="692"/>
      <c r="E387" s="692"/>
      <c r="F387" s="692"/>
      <c r="G387" s="692"/>
      <c r="H387" s="692"/>
      <c r="I387" s="692"/>
      <c r="J387" s="206">
        <v>88.578999999999994</v>
      </c>
      <c r="K387" s="206">
        <v>108.297</v>
      </c>
      <c r="L387" s="207">
        <v>-1.6999999999999999E-3</v>
      </c>
      <c r="M387" s="207">
        <v>0.1069</v>
      </c>
      <c r="N387" s="207">
        <v>6.6600000000000006E-2</v>
      </c>
      <c r="O387" s="199">
        <v>1124</v>
      </c>
      <c r="P387" s="692"/>
      <c r="Q387" s="692"/>
      <c r="R387" s="208"/>
      <c r="S387" s="301">
        <v>13040</v>
      </c>
      <c r="T387" s="115"/>
      <c r="U387" s="115"/>
      <c r="V387" s="115"/>
      <c r="W387" s="125">
        <v>807.7</v>
      </c>
      <c r="X387" s="125">
        <v>601.70000000000005</v>
      </c>
      <c r="Y387" s="125"/>
      <c r="AA387" s="224">
        <v>0.47986111111111113</v>
      </c>
    </row>
    <row r="388" spans="1:35" ht="20.45">
      <c r="A388" s="152">
        <v>44972</v>
      </c>
      <c r="B388" s="152"/>
      <c r="C388" s="700" t="s">
        <v>714</v>
      </c>
      <c r="D388" s="692"/>
      <c r="E388" s="692"/>
      <c r="F388" s="692"/>
      <c r="G388" s="692"/>
      <c r="H388" s="692"/>
      <c r="I388" s="692"/>
      <c r="J388" s="206">
        <v>88.578999999999994</v>
      </c>
      <c r="K388" s="206">
        <v>108.297</v>
      </c>
      <c r="L388" s="207">
        <v>-1.6000000000000001E-3</v>
      </c>
      <c r="M388" s="207">
        <v>0.1069</v>
      </c>
      <c r="N388" s="207">
        <v>6.6600000000000006E-2</v>
      </c>
      <c r="O388" s="199">
        <v>1124</v>
      </c>
      <c r="P388" s="692"/>
      <c r="Q388" s="692"/>
      <c r="R388" s="692"/>
      <c r="S388" s="301">
        <v>13551</v>
      </c>
      <c r="T388" s="115"/>
      <c r="U388" s="115"/>
      <c r="V388" s="115"/>
      <c r="W388" s="125">
        <v>807.7</v>
      </c>
      <c r="X388" s="125">
        <v>601.70000000000005</v>
      </c>
      <c r="Y388" s="125"/>
      <c r="AA388" s="224">
        <v>0.48333333333333334</v>
      </c>
    </row>
    <row r="389" spans="1:35" ht="20.45">
      <c r="A389" s="152">
        <v>44972</v>
      </c>
      <c r="B389" s="152"/>
      <c r="C389" s="700" t="s">
        <v>714</v>
      </c>
      <c r="D389" s="692"/>
      <c r="E389" s="692"/>
      <c r="F389" s="692"/>
      <c r="G389" s="692"/>
      <c r="H389" s="692"/>
      <c r="I389" s="692"/>
      <c r="J389" s="206">
        <v>88.578999999999994</v>
      </c>
      <c r="K389" s="206">
        <v>108.297</v>
      </c>
      <c r="L389" s="207">
        <v>-1.6999999999999999E-3</v>
      </c>
      <c r="M389" s="207">
        <v>0.1069</v>
      </c>
      <c r="N389" s="207">
        <v>6.6600000000000006E-2</v>
      </c>
      <c r="O389" s="199">
        <v>1124</v>
      </c>
      <c r="P389" s="692"/>
      <c r="Q389" s="692"/>
      <c r="R389" s="692"/>
      <c r="S389" s="301">
        <v>14334</v>
      </c>
      <c r="T389" s="115"/>
      <c r="U389" s="115"/>
      <c r="V389" s="115"/>
      <c r="W389" s="125">
        <v>807.7</v>
      </c>
      <c r="X389" s="125">
        <v>601.6</v>
      </c>
      <c r="Y389" s="125"/>
      <c r="AA389" s="224">
        <v>0.48888888888888887</v>
      </c>
      <c r="AB389" s="164">
        <v>304.5</v>
      </c>
      <c r="AC389" s="164">
        <v>301</v>
      </c>
      <c r="AD389" s="164">
        <v>300.8</v>
      </c>
      <c r="AE389" s="164">
        <v>302.3</v>
      </c>
      <c r="AF389" s="164">
        <v>306.5</v>
      </c>
      <c r="AG389" s="164">
        <v>300.39999999999998</v>
      </c>
      <c r="AH389" s="164">
        <v>302.5</v>
      </c>
      <c r="AI389" s="164" t="s">
        <v>690</v>
      </c>
    </row>
    <row r="390" spans="1:35">
      <c r="A390" s="152">
        <v>44972</v>
      </c>
      <c r="B390" s="152"/>
      <c r="C390" s="700" t="s">
        <v>715</v>
      </c>
      <c r="D390" s="692"/>
      <c r="E390" s="692"/>
      <c r="F390" s="692"/>
      <c r="G390" s="692"/>
      <c r="H390" s="692"/>
      <c r="I390" s="692"/>
      <c r="J390" s="206">
        <v>101.499</v>
      </c>
      <c r="K390" s="206">
        <v>125.708</v>
      </c>
      <c r="L390" s="207">
        <v>2.0000000000000001E-4</v>
      </c>
      <c r="M390" s="207">
        <v>0.10678</v>
      </c>
      <c r="N390" s="207">
        <v>6.6600000000000006E-2</v>
      </c>
      <c r="O390" s="199" t="s">
        <v>556</v>
      </c>
      <c r="P390" s="692"/>
      <c r="Q390" s="692"/>
      <c r="R390" s="208"/>
      <c r="S390" s="301">
        <v>22418</v>
      </c>
      <c r="T390" s="115"/>
      <c r="U390" s="202">
        <v>2E-3</v>
      </c>
      <c r="V390" s="202">
        <v>4.5999999999999999E-3</v>
      </c>
      <c r="W390" s="115"/>
      <c r="X390" s="115"/>
      <c r="Y390" s="115"/>
    </row>
    <row r="391" spans="1:35" ht="30.6">
      <c r="A391" s="152">
        <v>44972</v>
      </c>
      <c r="B391" s="152"/>
      <c r="C391" s="700" t="s">
        <v>716</v>
      </c>
      <c r="D391" s="128">
        <v>20.57</v>
      </c>
      <c r="E391" s="128">
        <v>23.83</v>
      </c>
      <c r="F391" s="128">
        <v>21.701000000000001</v>
      </c>
      <c r="G391" s="128">
        <v>23.94</v>
      </c>
      <c r="H391" s="128">
        <v>24.12</v>
      </c>
      <c r="I391" s="128">
        <v>23.77</v>
      </c>
      <c r="J391" s="206" t="s">
        <v>717</v>
      </c>
      <c r="K391" s="206">
        <v>-65.001000000000005</v>
      </c>
      <c r="L391" s="207">
        <v>-60.006700000000002</v>
      </c>
      <c r="M391" s="207">
        <v>-8.9999999999999998E-4</v>
      </c>
      <c r="N391" s="207">
        <v>-2.9999999999999997E-4</v>
      </c>
      <c r="O391" s="199" t="s">
        <v>68</v>
      </c>
      <c r="P391" s="692"/>
      <c r="Q391" s="692"/>
      <c r="R391" s="208"/>
      <c r="S391" s="301">
        <v>23832</v>
      </c>
      <c r="T391" s="115"/>
      <c r="U391" s="202">
        <v>3.7000000000000002E-3</v>
      </c>
      <c r="V391" s="202">
        <v>1.5E-3</v>
      </c>
      <c r="W391" s="115"/>
      <c r="X391" s="115"/>
      <c r="Y391" s="115"/>
      <c r="AA391" s="224">
        <v>0.52083333333333337</v>
      </c>
      <c r="AB391" s="164">
        <v>304.89999999999998</v>
      </c>
      <c r="AC391" s="164">
        <v>301.10000000000002</v>
      </c>
      <c r="AD391" s="164">
        <v>300.89999999999998</v>
      </c>
      <c r="AE391" s="164">
        <v>302.60000000000002</v>
      </c>
      <c r="AF391" s="164">
        <v>307</v>
      </c>
      <c r="AG391" s="164">
        <v>300.60000000000002</v>
      </c>
      <c r="AH391" s="164">
        <v>302.89999999999998</v>
      </c>
      <c r="AI391" s="164" t="s">
        <v>690</v>
      </c>
    </row>
    <row r="392" spans="1:35">
      <c r="A392" s="152">
        <v>44972</v>
      </c>
      <c r="B392" s="152"/>
      <c r="C392" s="700" t="s">
        <v>616</v>
      </c>
      <c r="D392" s="692"/>
      <c r="E392" s="692"/>
      <c r="F392" s="692"/>
      <c r="G392" s="692"/>
      <c r="H392" s="692"/>
      <c r="I392" s="692"/>
      <c r="J392" s="206">
        <v>67.697999999999993</v>
      </c>
      <c r="K392" s="206">
        <v>103.398</v>
      </c>
      <c r="L392" s="207">
        <v>-2.0000000000000001E-4</v>
      </c>
      <c r="M392" s="207">
        <v>0.1066</v>
      </c>
      <c r="N392" s="207">
        <v>6.6699999999999995E-2</v>
      </c>
      <c r="O392" s="168"/>
      <c r="P392" s="692"/>
      <c r="Q392" s="197">
        <v>16</v>
      </c>
      <c r="R392" s="197">
        <v>3.4590709999999998</v>
      </c>
      <c r="S392" s="301">
        <v>30211</v>
      </c>
      <c r="T392" s="115"/>
      <c r="U392" s="115"/>
      <c r="V392" s="115"/>
      <c r="W392" s="115"/>
      <c r="X392" s="115"/>
      <c r="Y392" s="115"/>
      <c r="Z392" s="163" t="s">
        <v>718</v>
      </c>
      <c r="AA392" s="224">
        <v>0.54236111111111118</v>
      </c>
    </row>
    <row r="393" spans="1:35" ht="20.45">
      <c r="A393" s="152">
        <v>44972</v>
      </c>
      <c r="B393" s="152"/>
      <c r="C393" s="700" t="s">
        <v>719</v>
      </c>
      <c r="D393" s="692"/>
      <c r="E393" s="692"/>
      <c r="F393" s="692"/>
      <c r="G393" s="692"/>
      <c r="H393" s="692"/>
      <c r="I393" s="692"/>
      <c r="J393" s="206">
        <v>100.71</v>
      </c>
      <c r="K393" s="206">
        <v>100.401</v>
      </c>
      <c r="L393" s="207">
        <v>2.9999999999999997E-4</v>
      </c>
      <c r="M393" s="207">
        <v>0.10657999999999999</v>
      </c>
      <c r="N393" s="207">
        <v>6.6750000000000004E-2</v>
      </c>
      <c r="O393" s="199">
        <v>1140</v>
      </c>
      <c r="P393" s="692"/>
      <c r="Q393" s="692"/>
      <c r="R393" s="692"/>
      <c r="S393" s="301">
        <v>30947</v>
      </c>
      <c r="T393" s="115"/>
      <c r="U393" s="115"/>
      <c r="V393" s="115"/>
      <c r="W393" s="125">
        <v>810</v>
      </c>
      <c r="X393" s="125">
        <v>603</v>
      </c>
      <c r="Y393" s="125"/>
      <c r="Z393" s="163" t="s">
        <v>720</v>
      </c>
      <c r="AA393" s="224">
        <v>0.55347222222222225</v>
      </c>
      <c r="AB393" s="164">
        <v>305.2</v>
      </c>
      <c r="AC393" s="164">
        <v>301.2</v>
      </c>
      <c r="AD393" s="164">
        <v>301</v>
      </c>
      <c r="AE393" s="164">
        <v>302.8</v>
      </c>
      <c r="AF393" s="164">
        <v>305</v>
      </c>
      <c r="AG393" s="164">
        <v>300.7</v>
      </c>
      <c r="AH393" s="164">
        <v>302.89999999999998</v>
      </c>
      <c r="AI393" s="164" t="s">
        <v>690</v>
      </c>
    </row>
    <row r="394" spans="1:35">
      <c r="A394" s="115"/>
      <c r="B394" s="115"/>
      <c r="C394" s="749" t="s">
        <v>721</v>
      </c>
      <c r="D394" s="692"/>
      <c r="E394" s="692"/>
      <c r="F394" s="692"/>
      <c r="G394" s="692"/>
      <c r="H394" s="692"/>
      <c r="I394" s="692"/>
      <c r="J394" s="692"/>
      <c r="K394" s="692"/>
      <c r="L394" s="692"/>
      <c r="M394" s="692"/>
      <c r="N394" s="692"/>
      <c r="O394" s="692"/>
      <c r="P394" s="692"/>
      <c r="Q394" s="692"/>
      <c r="R394" s="692"/>
      <c r="T394" s="115"/>
      <c r="U394" s="115"/>
      <c r="V394" s="115"/>
      <c r="W394" s="115"/>
      <c r="X394" s="115"/>
      <c r="Y394" s="115"/>
      <c r="AA394" s="224">
        <v>0.57916666666666672</v>
      </c>
      <c r="AB394" s="164">
        <v>304.39999999999998</v>
      </c>
      <c r="AC394" s="164">
        <v>301.10000000000002</v>
      </c>
      <c r="AD394" s="164">
        <v>300.89999999999998</v>
      </c>
      <c r="AE394" s="164">
        <v>302.10000000000002</v>
      </c>
      <c r="AF394" s="164">
        <v>302.2</v>
      </c>
      <c r="AG394" s="164">
        <v>300.39999999999998</v>
      </c>
      <c r="AH394" s="164">
        <v>302.39999999999998</v>
      </c>
      <c r="AI394" s="164" t="s">
        <v>690</v>
      </c>
    </row>
    <row r="395" spans="1:35">
      <c r="A395" s="115"/>
      <c r="B395" s="115"/>
      <c r="C395" s="749"/>
      <c r="D395" s="692"/>
      <c r="E395" s="692"/>
      <c r="F395" s="692"/>
      <c r="G395" s="692"/>
      <c r="H395" s="692"/>
      <c r="I395" s="692"/>
      <c r="J395" s="692"/>
      <c r="K395" s="692"/>
      <c r="L395" s="692"/>
      <c r="M395" s="692"/>
      <c r="N395" s="692"/>
      <c r="O395" s="692"/>
      <c r="P395" s="692"/>
      <c r="Q395" s="692"/>
      <c r="R395" s="692"/>
      <c r="T395" s="115"/>
      <c r="U395" s="115"/>
      <c r="V395" s="115"/>
      <c r="W395" s="115"/>
      <c r="X395" s="115"/>
      <c r="Y395" s="115"/>
      <c r="AA395" s="224">
        <v>0.60069444444444442</v>
      </c>
      <c r="AB395" s="164">
        <v>303.7</v>
      </c>
      <c r="AC395" s="164">
        <v>300.89999999999998</v>
      </c>
      <c r="AD395" s="164">
        <v>300.8</v>
      </c>
      <c r="AE395" s="164">
        <v>301.60000000000002</v>
      </c>
      <c r="AF395" s="164">
        <v>301.5</v>
      </c>
      <c r="AG395" s="164">
        <v>300.10000000000002</v>
      </c>
      <c r="AH395" s="164">
        <v>301.8</v>
      </c>
      <c r="AI395" s="164" t="s">
        <v>690</v>
      </c>
    </row>
    <row r="396" spans="1:35" ht="21.6">
      <c r="A396" s="126" t="s">
        <v>0</v>
      </c>
      <c r="B396" s="126"/>
      <c r="C396" s="272" t="s">
        <v>375</v>
      </c>
      <c r="D396" s="750" t="s">
        <v>6</v>
      </c>
      <c r="E396" s="750"/>
      <c r="F396" s="750" t="s">
        <v>7</v>
      </c>
      <c r="G396" s="750"/>
      <c r="H396" s="750" t="s">
        <v>8</v>
      </c>
      <c r="I396" s="750"/>
      <c r="J396" s="696" t="s">
        <v>629</v>
      </c>
      <c r="K396" s="696" t="s">
        <v>630</v>
      </c>
      <c r="L396" s="696" t="s">
        <v>631</v>
      </c>
      <c r="M396" s="696" t="s">
        <v>632</v>
      </c>
      <c r="N396" s="696" t="s">
        <v>633</v>
      </c>
      <c r="O396" s="696" t="s">
        <v>14</v>
      </c>
      <c r="P396" s="696" t="s">
        <v>595</v>
      </c>
      <c r="Q396" s="696" t="s">
        <v>15</v>
      </c>
      <c r="R396" s="696" t="s">
        <v>16</v>
      </c>
      <c r="S396" s="303" t="s">
        <v>17</v>
      </c>
      <c r="T396" s="126" t="s">
        <v>419</v>
      </c>
      <c r="U396" s="203" t="s">
        <v>420</v>
      </c>
      <c r="V396" s="203" t="s">
        <v>421</v>
      </c>
      <c r="W396" s="126" t="s">
        <v>422</v>
      </c>
      <c r="X396" s="126" t="s">
        <v>423</v>
      </c>
      <c r="Y396" s="126"/>
    </row>
    <row r="397" spans="1:35">
      <c r="A397" s="152">
        <v>44973</v>
      </c>
      <c r="B397" s="152"/>
      <c r="C397" s="700" t="s">
        <v>722</v>
      </c>
      <c r="D397" s="197">
        <v>20.702999999999999</v>
      </c>
      <c r="E397" s="197">
        <v>23.43</v>
      </c>
      <c r="F397" s="197">
        <v>21.15</v>
      </c>
      <c r="G397" s="197">
        <v>24.07</v>
      </c>
      <c r="H397" s="197">
        <v>24.66</v>
      </c>
      <c r="I397" s="197">
        <v>23.23</v>
      </c>
      <c r="J397" s="206">
        <v>-2147.48</v>
      </c>
      <c r="K397" s="206">
        <v>-65.001000000000005</v>
      </c>
      <c r="L397" s="207">
        <v>-60.005699999999997</v>
      </c>
      <c r="M397" s="207">
        <v>-9.2599999999999996E-4</v>
      </c>
      <c r="N397" s="207">
        <v>-1.995E-4</v>
      </c>
      <c r="O397" s="692"/>
      <c r="P397" s="692"/>
      <c r="Q397" s="197">
        <v>7</v>
      </c>
      <c r="R397" s="197">
        <v>4.7623170000000004</v>
      </c>
      <c r="T397" s="115"/>
      <c r="U397" s="201"/>
      <c r="V397" s="201"/>
      <c r="W397" s="115"/>
      <c r="X397" s="115"/>
      <c r="Y397" s="115"/>
      <c r="AA397" s="224">
        <v>0.41875000000000001</v>
      </c>
      <c r="AB397" s="164">
        <v>302.2</v>
      </c>
      <c r="AC397" s="164">
        <v>300.39999999999998</v>
      </c>
      <c r="AD397" s="164">
        <v>300.10000000000002</v>
      </c>
      <c r="AE397" s="164">
        <v>300.89999999999998</v>
      </c>
      <c r="AF397" s="164">
        <v>302.39999999999998</v>
      </c>
      <c r="AG397" s="164">
        <v>299.5</v>
      </c>
      <c r="AH397" s="164">
        <v>300.10000000000002</v>
      </c>
      <c r="AI397" s="164" t="s">
        <v>690</v>
      </c>
    </row>
    <row r="398" spans="1:35">
      <c r="A398" s="152">
        <v>44973</v>
      </c>
      <c r="B398" s="152"/>
      <c r="C398" s="700" t="s">
        <v>27</v>
      </c>
      <c r="D398" s="197">
        <v>20.702999999999999</v>
      </c>
      <c r="E398" s="197">
        <v>23.43</v>
      </c>
      <c r="F398" s="197">
        <v>21.15</v>
      </c>
      <c r="G398" s="197">
        <v>24.07</v>
      </c>
      <c r="H398" s="197">
        <v>24.13</v>
      </c>
      <c r="I398" s="197">
        <v>23.77</v>
      </c>
      <c r="J398" s="206">
        <v>-2147.48</v>
      </c>
      <c r="K398" s="206">
        <v>-65.001000000000005</v>
      </c>
      <c r="L398" s="207">
        <v>-60.005699999999997</v>
      </c>
      <c r="M398" s="207">
        <v>-9.2599999999999996E-4</v>
      </c>
      <c r="N398" s="207">
        <v>-1.995E-4</v>
      </c>
      <c r="O398" s="692"/>
      <c r="P398" s="692"/>
      <c r="Q398" s="197">
        <v>26</v>
      </c>
      <c r="R398" s="197">
        <v>4.0314769999999998</v>
      </c>
      <c r="T398" s="115"/>
      <c r="U398" s="201"/>
      <c r="V398" s="201"/>
      <c r="W398" s="115"/>
      <c r="X398" s="115"/>
      <c r="Y398" s="115"/>
      <c r="AA398" s="224"/>
    </row>
    <row r="399" spans="1:35" ht="20.45">
      <c r="A399" s="152">
        <v>44973</v>
      </c>
      <c r="B399" s="152"/>
      <c r="C399" s="700" t="s">
        <v>723</v>
      </c>
      <c r="D399" s="197">
        <v>20.521000000000001</v>
      </c>
      <c r="E399" s="197">
        <v>23.806000000000001</v>
      </c>
      <c r="F399" s="197">
        <v>21.690999999999999</v>
      </c>
      <c r="G399" s="197">
        <v>23.884</v>
      </c>
      <c r="H399" s="197">
        <v>24.13</v>
      </c>
      <c r="I399" s="197">
        <v>23.77</v>
      </c>
      <c r="J399" s="206">
        <v>-2147.48</v>
      </c>
      <c r="K399" s="206">
        <v>-65.001000000000005</v>
      </c>
      <c r="L399" s="207">
        <v>-60.005699999999997</v>
      </c>
      <c r="M399" s="207">
        <v>-9.2599999999999996E-4</v>
      </c>
      <c r="N399" s="207">
        <v>-1.995E-4</v>
      </c>
      <c r="O399" s="199" t="s">
        <v>68</v>
      </c>
      <c r="P399" s="692"/>
      <c r="Q399" s="692"/>
      <c r="R399" s="208"/>
      <c r="S399" s="301">
        <v>22626</v>
      </c>
      <c r="T399" s="115"/>
      <c r="U399" s="202">
        <v>1.2999999999999999E-3</v>
      </c>
      <c r="V399" s="202">
        <v>2.8E-3</v>
      </c>
      <c r="W399" s="115"/>
      <c r="X399" s="115"/>
      <c r="Y399" s="115"/>
    </row>
    <row r="400" spans="1:35" ht="20.45">
      <c r="A400" s="152">
        <v>44973</v>
      </c>
      <c r="B400" s="152"/>
      <c r="C400" s="700" t="s">
        <v>724</v>
      </c>
      <c r="D400" s="197">
        <v>20.521000000000001</v>
      </c>
      <c r="E400" s="197">
        <v>23.806000000000001</v>
      </c>
      <c r="F400" s="197">
        <v>21.690999999999999</v>
      </c>
      <c r="G400" s="197">
        <v>23.884</v>
      </c>
      <c r="H400" s="197">
        <v>24.13</v>
      </c>
      <c r="I400" s="197">
        <v>23.77</v>
      </c>
      <c r="J400" s="206">
        <v>-2147.48</v>
      </c>
      <c r="K400" s="206">
        <v>-65.001000000000005</v>
      </c>
      <c r="L400" s="207">
        <v>-60.005699999999997</v>
      </c>
      <c r="M400" s="207">
        <v>-9.2599999999999996E-4</v>
      </c>
      <c r="N400" s="207">
        <v>-1.995E-4</v>
      </c>
      <c r="O400" s="199" t="s">
        <v>323</v>
      </c>
      <c r="P400" s="692"/>
      <c r="Q400" s="692"/>
      <c r="R400" s="208"/>
      <c r="S400" s="301">
        <v>22759</v>
      </c>
      <c r="T400" s="115"/>
      <c r="U400" s="201"/>
      <c r="V400" s="201"/>
      <c r="W400" s="125">
        <v>807.8</v>
      </c>
      <c r="X400" s="125">
        <v>601.5</v>
      </c>
      <c r="Y400" s="125"/>
    </row>
    <row r="401" spans="1:35" ht="20.45">
      <c r="A401" s="152">
        <v>44973</v>
      </c>
      <c r="B401" s="152"/>
      <c r="C401" s="700" t="s">
        <v>725</v>
      </c>
      <c r="D401" s="197">
        <v>20.521000000000001</v>
      </c>
      <c r="E401" s="197">
        <v>23.806000000000001</v>
      </c>
      <c r="F401" s="197">
        <v>21.690999999999999</v>
      </c>
      <c r="G401" s="197">
        <v>23.884</v>
      </c>
      <c r="H401" s="197">
        <v>24.13</v>
      </c>
      <c r="I401" s="197">
        <v>23.77</v>
      </c>
      <c r="J401" s="206">
        <v>-2147.48</v>
      </c>
      <c r="K401" s="206">
        <v>-65.001000000000005</v>
      </c>
      <c r="L401" s="207">
        <v>-60.005699999999997</v>
      </c>
      <c r="M401" s="207">
        <v>-9.2599999999999996E-4</v>
      </c>
      <c r="N401" s="207">
        <v>-1.995E-4</v>
      </c>
      <c r="O401" s="692"/>
      <c r="P401" s="692"/>
      <c r="Q401" s="197">
        <v>32</v>
      </c>
      <c r="R401" s="197">
        <v>4.0315269999999996</v>
      </c>
      <c r="T401" s="115"/>
      <c r="U401" s="201"/>
      <c r="V401" s="201"/>
      <c r="W401" s="115"/>
      <c r="X401" s="115"/>
      <c r="Y401" s="115"/>
      <c r="Z401" s="163">
        <f>(R401-R398)*1000000</f>
        <v>49.999999999883471</v>
      </c>
    </row>
    <row r="402" spans="1:35" ht="20.45">
      <c r="A402" s="152">
        <v>44973</v>
      </c>
      <c r="B402" s="152"/>
      <c r="C402" s="700" t="s">
        <v>726</v>
      </c>
      <c r="D402" s="197">
        <v>20.521000000000001</v>
      </c>
      <c r="E402" s="197">
        <v>23.806000000000001</v>
      </c>
      <c r="F402" s="197">
        <v>21.690999999999999</v>
      </c>
      <c r="G402" s="197">
        <v>23.884</v>
      </c>
      <c r="H402" s="197">
        <v>24.63</v>
      </c>
      <c r="I402" s="197">
        <v>23.23</v>
      </c>
      <c r="J402" s="206">
        <v>-2147.48</v>
      </c>
      <c r="K402" s="206">
        <v>-65.001000000000005</v>
      </c>
      <c r="L402" s="207">
        <v>-60.005699999999997</v>
      </c>
      <c r="M402" s="207">
        <v>-9.2599999999999996E-4</v>
      </c>
      <c r="N402" s="207">
        <v>-1.995E-4</v>
      </c>
      <c r="O402" s="692"/>
      <c r="P402" s="692"/>
      <c r="Q402" s="197">
        <v>8</v>
      </c>
      <c r="R402" s="197">
        <v>4.7624129999999996</v>
      </c>
      <c r="T402" s="115"/>
      <c r="U402" s="201"/>
      <c r="V402" s="201"/>
      <c r="W402" s="115"/>
      <c r="X402" s="115"/>
      <c r="Y402" s="115"/>
      <c r="AA402" s="224">
        <v>0.41875000000000001</v>
      </c>
      <c r="AB402" s="164">
        <v>302.2</v>
      </c>
      <c r="AC402" s="164">
        <v>300.39999999999998</v>
      </c>
      <c r="AD402" s="164">
        <v>300.10000000000002</v>
      </c>
      <c r="AE402" s="164">
        <v>300.89999999999998</v>
      </c>
      <c r="AF402" s="164">
        <v>302.39999999999998</v>
      </c>
      <c r="AG402" s="164">
        <v>299.5</v>
      </c>
      <c r="AH402" s="164">
        <v>300.10000000000002</v>
      </c>
      <c r="AI402" s="164" t="s">
        <v>690</v>
      </c>
    </row>
    <row r="403" spans="1:35">
      <c r="A403" s="152">
        <v>44973</v>
      </c>
      <c r="B403" s="152"/>
      <c r="C403" s="700" t="s">
        <v>31</v>
      </c>
      <c r="D403" s="197">
        <v>20.521000000000001</v>
      </c>
      <c r="E403" s="197">
        <v>23.806000000000001</v>
      </c>
      <c r="F403" s="197">
        <v>21.690999999999999</v>
      </c>
      <c r="G403" s="197">
        <v>23.884</v>
      </c>
      <c r="H403" s="197">
        <v>24.13</v>
      </c>
      <c r="I403" s="197">
        <v>23.77</v>
      </c>
      <c r="J403" s="197">
        <v>101.502</v>
      </c>
      <c r="K403" s="197">
        <v>125.708</v>
      </c>
      <c r="L403" s="197">
        <v>-5.9999999999999995E-4</v>
      </c>
      <c r="M403" s="197">
        <v>0.108</v>
      </c>
      <c r="N403" s="197">
        <v>5.3339999999999999E-2</v>
      </c>
      <c r="O403" s="197" t="s">
        <v>68</v>
      </c>
      <c r="P403" s="692"/>
      <c r="Q403" s="692"/>
      <c r="R403" s="692"/>
      <c r="S403" s="301">
        <v>31526</v>
      </c>
      <c r="T403" s="115"/>
      <c r="U403" s="202">
        <v>1.6999999999999999E-3</v>
      </c>
      <c r="V403" s="202">
        <v>2.0999999999999999E-3</v>
      </c>
      <c r="W403" s="115"/>
      <c r="X403" s="115"/>
      <c r="Y403" s="115"/>
    </row>
    <row r="404" spans="1:35">
      <c r="A404" s="152">
        <v>44973</v>
      </c>
      <c r="B404" s="152"/>
      <c r="C404" s="700" t="s">
        <v>32</v>
      </c>
      <c r="D404" s="197">
        <v>20.521000000000001</v>
      </c>
      <c r="E404" s="197">
        <v>23.806000000000001</v>
      </c>
      <c r="F404" s="197">
        <v>21.690999999999999</v>
      </c>
      <c r="G404" s="197">
        <v>23.884</v>
      </c>
      <c r="H404" s="197">
        <v>24.13</v>
      </c>
      <c r="I404" s="197">
        <v>23.77</v>
      </c>
      <c r="J404" s="197">
        <v>88.230500000000006</v>
      </c>
      <c r="K404" s="197">
        <v>108.3</v>
      </c>
      <c r="L404" s="197">
        <v>-5.9999999999999995E-4</v>
      </c>
      <c r="M404" s="197">
        <v>0.1081</v>
      </c>
      <c r="N404" s="197">
        <v>5.3400000000000003E-2</v>
      </c>
      <c r="O404" s="199">
        <v>1132</v>
      </c>
      <c r="P404" s="692"/>
      <c r="Q404" s="692"/>
      <c r="R404" s="692"/>
      <c r="S404" s="301">
        <v>32553</v>
      </c>
      <c r="T404" s="115"/>
      <c r="U404" s="201"/>
      <c r="V404" s="201"/>
      <c r="W404" s="125">
        <v>801.6</v>
      </c>
      <c r="X404" s="125">
        <v>601.1</v>
      </c>
      <c r="Y404" s="125"/>
    </row>
    <row r="405" spans="1:35">
      <c r="A405" s="152">
        <v>44973</v>
      </c>
      <c r="B405" s="152"/>
      <c r="C405" s="700" t="s">
        <v>727</v>
      </c>
      <c r="D405" s="197">
        <v>20.521000000000001</v>
      </c>
      <c r="E405" s="197">
        <v>23.806000000000001</v>
      </c>
      <c r="F405" s="197">
        <v>21.690999999999999</v>
      </c>
      <c r="G405" s="197">
        <v>23.884</v>
      </c>
      <c r="H405" s="197">
        <v>24.13</v>
      </c>
      <c r="I405" s="197">
        <v>23.77</v>
      </c>
      <c r="J405" s="197">
        <v>67.697400000000002</v>
      </c>
      <c r="K405" s="197">
        <v>103.398</v>
      </c>
      <c r="L405" s="197">
        <v>-8.0000000000000004E-4</v>
      </c>
      <c r="M405" s="197">
        <v>0.1081</v>
      </c>
      <c r="N405" s="197">
        <v>5.3400000000000003E-2</v>
      </c>
      <c r="O405" s="692"/>
      <c r="P405" s="692"/>
      <c r="Q405" s="197">
        <v>20</v>
      </c>
      <c r="R405" s="197">
        <v>3.4590459999999998</v>
      </c>
      <c r="T405" s="115"/>
      <c r="U405" s="115"/>
      <c r="V405" s="115"/>
      <c r="W405" s="115"/>
      <c r="X405" s="115"/>
      <c r="Y405" s="115"/>
    </row>
    <row r="406" spans="1:35" ht="20.45">
      <c r="A406" s="152">
        <v>44973</v>
      </c>
      <c r="B406" s="152"/>
      <c r="C406" s="700" t="s">
        <v>728</v>
      </c>
      <c r="D406" s="197">
        <v>20.521000000000001</v>
      </c>
      <c r="E406" s="197">
        <v>23.806000000000001</v>
      </c>
      <c r="F406" s="197">
        <v>21.690999999999999</v>
      </c>
      <c r="G406" s="197">
        <v>23.884</v>
      </c>
      <c r="H406" s="197">
        <v>24.13</v>
      </c>
      <c r="I406" s="197">
        <v>23.77</v>
      </c>
      <c r="J406" s="197">
        <v>100.414</v>
      </c>
      <c r="K406" s="197">
        <v>100.4</v>
      </c>
      <c r="L406" s="197">
        <v>-2.9999999999999997E-4</v>
      </c>
      <c r="M406" s="197">
        <v>0.1081</v>
      </c>
      <c r="N406" s="197">
        <v>5.3400000000000003E-2</v>
      </c>
      <c r="O406" s="199">
        <v>1140</v>
      </c>
      <c r="P406" s="692"/>
      <c r="Q406" s="692"/>
      <c r="R406" s="692"/>
      <c r="S406" s="301">
        <v>34049</v>
      </c>
      <c r="T406" s="115"/>
      <c r="U406" s="201"/>
      <c r="V406" s="201"/>
      <c r="W406" s="125">
        <v>807</v>
      </c>
      <c r="X406" s="125">
        <v>601.5</v>
      </c>
      <c r="Y406" s="125"/>
    </row>
    <row r="407" spans="1:35" ht="21.6">
      <c r="A407" s="126" t="s">
        <v>0</v>
      </c>
      <c r="B407" s="126"/>
      <c r="C407" s="272" t="s">
        <v>375</v>
      </c>
      <c r="D407" s="750" t="s">
        <v>6</v>
      </c>
      <c r="E407" s="750"/>
      <c r="F407" s="750" t="s">
        <v>7</v>
      </c>
      <c r="G407" s="750"/>
      <c r="H407" s="750" t="s">
        <v>8</v>
      </c>
      <c r="I407" s="750"/>
      <c r="J407" s="696" t="s">
        <v>629</v>
      </c>
      <c r="K407" s="696" t="s">
        <v>630</v>
      </c>
      <c r="L407" s="696" t="s">
        <v>631</v>
      </c>
      <c r="M407" s="696" t="s">
        <v>632</v>
      </c>
      <c r="N407" s="696" t="s">
        <v>633</v>
      </c>
      <c r="O407" s="696" t="s">
        <v>14</v>
      </c>
      <c r="P407" s="696" t="s">
        <v>595</v>
      </c>
      <c r="Q407" s="696" t="s">
        <v>15</v>
      </c>
      <c r="R407" s="696" t="s">
        <v>16</v>
      </c>
      <c r="S407" s="303" t="s">
        <v>17</v>
      </c>
      <c r="T407" s="126" t="s">
        <v>419</v>
      </c>
      <c r="U407" s="203" t="s">
        <v>420</v>
      </c>
      <c r="V407" s="203" t="s">
        <v>421</v>
      </c>
      <c r="W407" s="126" t="s">
        <v>422</v>
      </c>
      <c r="X407" s="126" t="s">
        <v>423</v>
      </c>
      <c r="Y407" s="126"/>
    </row>
    <row r="408" spans="1:35">
      <c r="A408" s="152">
        <v>44975</v>
      </c>
      <c r="B408" s="152"/>
      <c r="C408" s="700" t="s">
        <v>722</v>
      </c>
      <c r="D408" s="197">
        <v>20.521000000000001</v>
      </c>
      <c r="E408" s="197">
        <v>23.806000000000001</v>
      </c>
      <c r="F408" s="197">
        <v>21.690999999999999</v>
      </c>
      <c r="G408" s="197">
        <v>23.884</v>
      </c>
      <c r="H408" s="197">
        <v>24.63</v>
      </c>
      <c r="I408" s="197">
        <v>23.23</v>
      </c>
      <c r="J408" s="206">
        <v>-2147.48</v>
      </c>
      <c r="K408" s="206">
        <v>-65</v>
      </c>
      <c r="L408" s="207">
        <v>-60.006500000000003</v>
      </c>
      <c r="M408" s="207">
        <v>-2.9999999999999997E-4</v>
      </c>
      <c r="N408" s="207">
        <v>8.7999999999999998E-5</v>
      </c>
      <c r="O408" s="692"/>
      <c r="P408" s="692"/>
      <c r="Q408" s="197">
        <v>10</v>
      </c>
      <c r="R408" s="197">
        <v>4.7623730000000002</v>
      </c>
      <c r="T408" s="115"/>
      <c r="U408" s="201"/>
      <c r="V408" s="201"/>
      <c r="W408" s="115"/>
      <c r="X408" s="115"/>
      <c r="Y408" s="115"/>
    </row>
    <row r="409" spans="1:35">
      <c r="A409" s="152">
        <v>44975</v>
      </c>
      <c r="B409" s="152"/>
      <c r="C409" s="700" t="s">
        <v>27</v>
      </c>
      <c r="D409" s="197">
        <v>20.521000000000001</v>
      </c>
      <c r="E409" s="197">
        <v>23.806000000000001</v>
      </c>
      <c r="F409" s="197">
        <v>21.690999999999999</v>
      </c>
      <c r="G409" s="197">
        <v>23.884</v>
      </c>
      <c r="H409" s="197">
        <v>24.13</v>
      </c>
      <c r="I409" s="197">
        <v>23.77</v>
      </c>
      <c r="J409" s="206">
        <v>-2147.48</v>
      </c>
      <c r="K409" s="206">
        <v>-65</v>
      </c>
      <c r="L409" s="207">
        <v>-60.006500000000003</v>
      </c>
      <c r="M409" s="207">
        <v>-2.9999999999999997E-4</v>
      </c>
      <c r="N409" s="207">
        <v>8.7999999999999998E-5</v>
      </c>
      <c r="O409" s="692"/>
      <c r="P409" s="692"/>
      <c r="Q409" s="197">
        <v>25</v>
      </c>
      <c r="R409" s="197">
        <v>4.0315009999999996</v>
      </c>
      <c r="T409" s="115"/>
      <c r="U409" s="201"/>
      <c r="V409" s="201"/>
      <c r="W409" s="115"/>
      <c r="X409" s="115"/>
      <c r="Y409" s="115"/>
    </row>
    <row r="410" spans="1:35" ht="20.45">
      <c r="A410" s="152">
        <v>44975</v>
      </c>
      <c r="B410" s="152"/>
      <c r="C410" s="700" t="s">
        <v>723</v>
      </c>
      <c r="D410" s="197">
        <v>20.516999999999999</v>
      </c>
      <c r="E410" s="197">
        <v>23.802</v>
      </c>
      <c r="F410" s="197">
        <v>21.690999999999999</v>
      </c>
      <c r="G410" s="197">
        <v>23.884</v>
      </c>
      <c r="H410" s="197">
        <v>24.13</v>
      </c>
      <c r="I410" s="197">
        <v>23.77</v>
      </c>
      <c r="J410" s="206">
        <v>-2147.48</v>
      </c>
      <c r="K410" s="206">
        <v>-65</v>
      </c>
      <c r="L410" s="207">
        <v>-60.006500000000003</v>
      </c>
      <c r="M410" s="207">
        <v>-2.9999999999999997E-4</v>
      </c>
      <c r="N410" s="207">
        <v>8.7999999999999998E-5</v>
      </c>
      <c r="O410" s="199" t="s">
        <v>68</v>
      </c>
      <c r="P410" s="692"/>
      <c r="Q410" s="692"/>
      <c r="R410" s="208"/>
      <c r="S410" s="301">
        <v>32425</v>
      </c>
      <c r="T410" s="115"/>
      <c r="U410" s="202">
        <v>2.7000000000000001E-3</v>
      </c>
      <c r="V410" s="202">
        <v>2.8E-3</v>
      </c>
      <c r="W410" s="115"/>
      <c r="X410" s="115"/>
      <c r="Y410" s="115"/>
    </row>
    <row r="411" spans="1:35" ht="20.45">
      <c r="A411" s="152">
        <v>44975</v>
      </c>
      <c r="B411" s="152"/>
      <c r="C411" s="700" t="s">
        <v>724</v>
      </c>
      <c r="D411" s="197">
        <v>20.516999999999999</v>
      </c>
      <c r="E411" s="197">
        <v>23.802</v>
      </c>
      <c r="F411" s="197">
        <v>21.690999999999999</v>
      </c>
      <c r="G411" s="197">
        <v>23.884</v>
      </c>
      <c r="H411" s="197">
        <v>24.13</v>
      </c>
      <c r="I411" s="197">
        <v>23.77</v>
      </c>
      <c r="J411" s="206">
        <v>-2147.48</v>
      </c>
      <c r="K411" s="206">
        <v>-65</v>
      </c>
      <c r="L411" s="207">
        <v>-60.006500000000003</v>
      </c>
      <c r="M411" s="207">
        <v>-2.9999999999999997E-4</v>
      </c>
      <c r="N411" s="207">
        <v>8.7999999999999998E-5</v>
      </c>
      <c r="O411" s="199" t="s">
        <v>82</v>
      </c>
      <c r="P411" s="692"/>
      <c r="Q411" s="692"/>
      <c r="R411" s="208"/>
      <c r="S411" s="301">
        <v>32604</v>
      </c>
      <c r="T411" s="115"/>
      <c r="U411" s="201"/>
      <c r="V411" s="201"/>
      <c r="W411" s="125">
        <v>807.7</v>
      </c>
      <c r="X411" s="125">
        <v>602.6</v>
      </c>
      <c r="Y411" s="125"/>
    </row>
    <row r="412" spans="1:35" ht="20.45">
      <c r="A412" s="152">
        <v>44975</v>
      </c>
      <c r="B412" s="152"/>
      <c r="C412" s="700" t="s">
        <v>725</v>
      </c>
      <c r="D412" s="197">
        <v>20.516999999999999</v>
      </c>
      <c r="E412" s="197">
        <v>23.802</v>
      </c>
      <c r="F412" s="197">
        <v>21.690999999999999</v>
      </c>
      <c r="G412" s="197">
        <v>23.884</v>
      </c>
      <c r="H412" s="197">
        <v>24.13</v>
      </c>
      <c r="I412" s="197">
        <v>23.77</v>
      </c>
      <c r="J412" s="206">
        <v>-2147.48</v>
      </c>
      <c r="K412" s="206">
        <v>-65</v>
      </c>
      <c r="L412" s="207">
        <v>-60.006500000000003</v>
      </c>
      <c r="M412" s="207">
        <v>-2.9999999999999997E-4</v>
      </c>
      <c r="N412" s="207">
        <v>8.7999999999999998E-5</v>
      </c>
      <c r="O412" s="692"/>
      <c r="P412" s="692"/>
      <c r="Q412" s="197">
        <v>35</v>
      </c>
      <c r="R412" s="197">
        <v>4.0315139999999996</v>
      </c>
      <c r="T412" s="115"/>
      <c r="U412" s="201"/>
      <c r="V412" s="201"/>
      <c r="W412" s="115"/>
      <c r="X412" s="115"/>
      <c r="Y412" s="115"/>
    </row>
    <row r="413" spans="1:35" ht="20.45">
      <c r="A413" s="152">
        <v>44975</v>
      </c>
      <c r="B413" s="152"/>
      <c r="C413" s="700" t="s">
        <v>726</v>
      </c>
      <c r="D413" s="197">
        <v>20.521000000000001</v>
      </c>
      <c r="E413" s="197">
        <v>23.806000000000001</v>
      </c>
      <c r="F413" s="197">
        <v>21.690999999999999</v>
      </c>
      <c r="G413" s="197">
        <v>23.884</v>
      </c>
      <c r="H413" s="197">
        <v>24.63</v>
      </c>
      <c r="I413" s="197">
        <v>23.23</v>
      </c>
      <c r="J413" s="206">
        <v>-2147.48</v>
      </c>
      <c r="K413" s="206">
        <v>-65</v>
      </c>
      <c r="L413" s="207">
        <v>-60.006500000000003</v>
      </c>
      <c r="M413" s="207">
        <v>-2.9999999999999997E-4</v>
      </c>
      <c r="N413" s="207">
        <v>8.7999999999999998E-5</v>
      </c>
      <c r="O413" s="692"/>
      <c r="P413" s="692"/>
      <c r="Q413" s="197">
        <v>11</v>
      </c>
      <c r="R413" s="197">
        <v>4.7623860000000002</v>
      </c>
      <c r="T413" s="115"/>
      <c r="U413" s="201"/>
      <c r="V413" s="201"/>
      <c r="W413" s="115"/>
      <c r="X413" s="115"/>
      <c r="Y413" s="115"/>
    </row>
    <row r="414" spans="1:35">
      <c r="A414" s="152">
        <v>44975</v>
      </c>
      <c r="B414" s="152"/>
      <c r="C414" s="700" t="s">
        <v>31</v>
      </c>
      <c r="D414" s="197">
        <v>20.516999999999999</v>
      </c>
      <c r="E414" s="197">
        <v>23.802</v>
      </c>
      <c r="F414" s="197">
        <v>21.690999999999999</v>
      </c>
      <c r="G414" s="197">
        <v>23.884</v>
      </c>
      <c r="H414" s="197">
        <v>24.13</v>
      </c>
      <c r="I414" s="197">
        <v>23.77</v>
      </c>
      <c r="J414" s="197">
        <v>101.501</v>
      </c>
      <c r="K414" s="197">
        <v>125.705</v>
      </c>
      <c r="L414" s="197">
        <v>-1.3999999999999999E-4</v>
      </c>
      <c r="M414" s="197">
        <v>0.1087</v>
      </c>
      <c r="N414" s="197">
        <v>6.3417000000000001E-2</v>
      </c>
      <c r="O414" s="197" t="s">
        <v>68</v>
      </c>
      <c r="P414" s="692"/>
      <c r="Q414" s="692"/>
      <c r="R414" s="692"/>
      <c r="S414" s="301">
        <v>43911</v>
      </c>
      <c r="T414" s="115"/>
      <c r="U414" s="202">
        <v>2.7000000000000001E-3</v>
      </c>
      <c r="V414" s="202">
        <v>4.8999999999999998E-3</v>
      </c>
      <c r="W414" s="115"/>
      <c r="X414" s="115"/>
      <c r="Y414" s="115"/>
    </row>
    <row r="415" spans="1:35">
      <c r="A415" s="152">
        <v>44975</v>
      </c>
      <c r="B415" s="152"/>
      <c r="C415" s="700" t="s">
        <v>32</v>
      </c>
      <c r="D415" s="197">
        <v>20.516999999999999</v>
      </c>
      <c r="E415" s="197">
        <v>23.802</v>
      </c>
      <c r="F415" s="197">
        <v>21.690999999999999</v>
      </c>
      <c r="G415" s="197">
        <v>23.884</v>
      </c>
      <c r="H415" s="197">
        <v>24.13</v>
      </c>
      <c r="I415" s="197">
        <v>23.77</v>
      </c>
      <c r="J415" s="197">
        <v>88.575800000000001</v>
      </c>
      <c r="K415" s="197">
        <v>108.3</v>
      </c>
      <c r="L415" s="197">
        <v>-2.0000000000000001E-4</v>
      </c>
      <c r="M415" s="197">
        <v>0.10879999999999999</v>
      </c>
      <c r="N415" s="197">
        <v>6.3451999999999995E-2</v>
      </c>
      <c r="O415" s="199">
        <v>1132</v>
      </c>
      <c r="P415" s="692"/>
      <c r="Q415" s="692"/>
      <c r="R415" s="692"/>
      <c r="S415" s="301">
        <v>44501</v>
      </c>
      <c r="T415" s="115"/>
      <c r="U415" s="201"/>
      <c r="V415" s="201"/>
      <c r="W415" s="125">
        <v>807.6</v>
      </c>
      <c r="X415" s="125">
        <v>601.79999999999995</v>
      </c>
      <c r="Y415" s="125"/>
    </row>
    <row r="416" spans="1:35">
      <c r="A416" s="152">
        <v>44975</v>
      </c>
      <c r="B416" s="152"/>
      <c r="C416" s="700" t="s">
        <v>727</v>
      </c>
      <c r="D416" s="197">
        <v>20.516999999999999</v>
      </c>
      <c r="E416" s="197">
        <v>23.802</v>
      </c>
      <c r="F416" s="197">
        <v>21.690999999999999</v>
      </c>
      <c r="G416" s="197">
        <v>23.884</v>
      </c>
      <c r="H416" s="197">
        <v>24.13</v>
      </c>
      <c r="I416" s="197">
        <v>23.77</v>
      </c>
      <c r="J416" s="197">
        <v>67.696899999999999</v>
      </c>
      <c r="K416" s="197">
        <v>103.398</v>
      </c>
      <c r="L416" s="197">
        <v>-4.6999999999999999E-4</v>
      </c>
      <c r="M416" s="197">
        <v>0.10883</v>
      </c>
      <c r="N416" s="197">
        <v>6.3471E-2</v>
      </c>
      <c r="O416" s="692"/>
      <c r="P416" s="692"/>
      <c r="Q416" s="197">
        <v>15</v>
      </c>
      <c r="R416" s="197">
        <v>3.4590559999999999</v>
      </c>
      <c r="T416" s="115"/>
      <c r="U416" s="115"/>
      <c r="V416" s="115"/>
      <c r="W416" s="115"/>
      <c r="X416" s="115"/>
      <c r="Y416" s="115"/>
    </row>
    <row r="417" spans="1:35" ht="20.45">
      <c r="A417" s="152">
        <v>44975</v>
      </c>
      <c r="B417" s="152"/>
      <c r="C417" s="700" t="s">
        <v>728</v>
      </c>
      <c r="D417" s="197">
        <v>20.516999999999999</v>
      </c>
      <c r="E417" s="197">
        <v>23.802</v>
      </c>
      <c r="F417" s="197">
        <v>21.690999999999999</v>
      </c>
      <c r="G417" s="197">
        <v>23.884</v>
      </c>
      <c r="H417" s="197">
        <v>24.13</v>
      </c>
      <c r="I417" s="197">
        <v>23.77</v>
      </c>
      <c r="J417" s="197">
        <v>100.717</v>
      </c>
      <c r="K417" s="197">
        <v>100.45099999999999</v>
      </c>
      <c r="L417" s="197">
        <v>0</v>
      </c>
      <c r="M417" s="197">
        <v>0.10886999999999999</v>
      </c>
      <c r="N417" s="197">
        <v>6.3490000000000005E-2</v>
      </c>
      <c r="O417" s="199">
        <v>1140</v>
      </c>
      <c r="P417" s="692"/>
      <c r="Q417" s="692"/>
      <c r="R417" s="692"/>
      <c r="S417" s="301">
        <v>45954</v>
      </c>
      <c r="T417" s="115"/>
      <c r="U417" s="201"/>
      <c r="V417" s="201"/>
      <c r="W417" s="125">
        <v>808</v>
      </c>
      <c r="X417" s="125">
        <v>602.5</v>
      </c>
      <c r="Y417" s="125"/>
    </row>
    <row r="418" spans="1:35">
      <c r="A418" s="115"/>
      <c r="B418" s="115"/>
      <c r="C418" s="700"/>
      <c r="D418" s="692"/>
      <c r="E418" s="692"/>
      <c r="F418" s="692"/>
      <c r="G418" s="692"/>
      <c r="H418" s="692"/>
      <c r="I418" s="692"/>
      <c r="J418" s="692"/>
      <c r="K418" s="692"/>
      <c r="L418" s="692"/>
      <c r="M418" s="692"/>
      <c r="N418" s="692"/>
      <c r="O418" s="692"/>
      <c r="P418" s="692"/>
      <c r="Q418" s="692"/>
      <c r="R418" s="692"/>
      <c r="T418" s="115"/>
      <c r="U418" s="115"/>
      <c r="V418" s="115"/>
      <c r="W418" s="115"/>
      <c r="X418" s="115"/>
      <c r="Y418" s="115"/>
    </row>
    <row r="419" spans="1:35">
      <c r="A419" s="115"/>
      <c r="B419" s="115"/>
      <c r="C419" s="272" t="s">
        <v>729</v>
      </c>
      <c r="D419" s="692"/>
      <c r="E419" s="692"/>
      <c r="F419" s="692"/>
      <c r="G419" s="692"/>
      <c r="H419" s="692"/>
      <c r="I419" s="692"/>
      <c r="J419" s="692"/>
      <c r="K419" s="692"/>
      <c r="L419" s="692"/>
      <c r="M419" s="692"/>
      <c r="N419" s="692"/>
      <c r="O419" s="692"/>
      <c r="P419" s="692"/>
      <c r="Q419" s="692"/>
      <c r="R419" s="692"/>
      <c r="T419" s="115"/>
      <c r="U419" s="115"/>
      <c r="V419" s="115"/>
      <c r="W419" s="115"/>
      <c r="X419" s="115"/>
      <c r="Y419" s="115"/>
    </row>
    <row r="420" spans="1:35">
      <c r="A420" s="152">
        <v>44976</v>
      </c>
      <c r="B420" s="152"/>
      <c r="C420" s="700" t="s">
        <v>722</v>
      </c>
      <c r="D420" s="207">
        <v>20.516999999999999</v>
      </c>
      <c r="E420" s="207">
        <v>23.802</v>
      </c>
      <c r="F420" s="207">
        <v>21.690999999999999</v>
      </c>
      <c r="G420" s="207">
        <v>23.884</v>
      </c>
      <c r="H420" s="207">
        <v>24.63</v>
      </c>
      <c r="I420" s="207">
        <v>23.23</v>
      </c>
      <c r="J420" s="206" t="s">
        <v>730</v>
      </c>
      <c r="K420" s="206">
        <v>-65</v>
      </c>
      <c r="L420" s="207">
        <v>-60</v>
      </c>
      <c r="M420" s="207">
        <v>0</v>
      </c>
      <c r="N420" s="207">
        <v>0</v>
      </c>
      <c r="O420" s="692"/>
      <c r="P420" s="692"/>
      <c r="Q420" s="197">
        <v>11</v>
      </c>
      <c r="R420" s="197">
        <v>4.7623730000000002</v>
      </c>
      <c r="T420" s="115"/>
      <c r="U420" s="201"/>
      <c r="V420" s="201"/>
      <c r="W420" s="115"/>
      <c r="X420" s="115"/>
      <c r="Y420" s="115"/>
      <c r="AA420" s="224">
        <v>0.55347222222222225</v>
      </c>
      <c r="AB420" s="164">
        <v>304.60000000000002</v>
      </c>
      <c r="AC420" s="164">
        <v>300.89999999999998</v>
      </c>
      <c r="AD420" s="164">
        <v>300.8</v>
      </c>
      <c r="AE420" s="164">
        <v>302.10000000000002</v>
      </c>
      <c r="AF420" s="164">
        <v>302.5</v>
      </c>
      <c r="AG420" s="164">
        <v>300.3</v>
      </c>
      <c r="AH420" s="164">
        <v>301.8</v>
      </c>
      <c r="AI420" s="164" t="s">
        <v>690</v>
      </c>
    </row>
    <row r="421" spans="1:35">
      <c r="A421" s="152">
        <v>44976</v>
      </c>
      <c r="B421" s="152"/>
      <c r="C421" s="700" t="s">
        <v>27</v>
      </c>
      <c r="D421" s="207">
        <v>20.516999999999999</v>
      </c>
      <c r="E421" s="207">
        <v>23.802</v>
      </c>
      <c r="F421" s="207">
        <v>21.690999999999999</v>
      </c>
      <c r="G421" s="207">
        <v>23.884</v>
      </c>
      <c r="H421" s="207">
        <v>24.13</v>
      </c>
      <c r="I421" s="207">
        <v>23.77</v>
      </c>
      <c r="J421" s="206" t="s">
        <v>730</v>
      </c>
      <c r="K421" s="206">
        <v>-65</v>
      </c>
      <c r="L421" s="207">
        <v>-60</v>
      </c>
      <c r="M421" s="207">
        <v>0</v>
      </c>
      <c r="N421" s="207">
        <v>0</v>
      </c>
      <c r="O421" s="692"/>
      <c r="P421" s="692"/>
      <c r="Q421" s="197">
        <v>24</v>
      </c>
      <c r="R421" s="197">
        <v>4.0314930000000002</v>
      </c>
      <c r="T421" s="115"/>
      <c r="U421" s="201"/>
      <c r="V421" s="201"/>
      <c r="W421" s="115"/>
      <c r="X421" s="115"/>
      <c r="Y421" s="115"/>
    </row>
    <row r="422" spans="1:35" ht="20.45">
      <c r="A422" s="152">
        <v>44976</v>
      </c>
      <c r="B422" s="152"/>
      <c r="C422" s="700" t="s">
        <v>723</v>
      </c>
      <c r="D422" s="207">
        <v>20.520499999999998</v>
      </c>
      <c r="E422" s="207">
        <v>23.804500000000001</v>
      </c>
      <c r="F422" s="207">
        <v>21.690999999999999</v>
      </c>
      <c r="G422" s="207">
        <v>23.884</v>
      </c>
      <c r="H422" s="207">
        <v>24.13</v>
      </c>
      <c r="I422" s="207">
        <v>23.77</v>
      </c>
      <c r="J422" s="206" t="s">
        <v>730</v>
      </c>
      <c r="K422" s="206">
        <v>-65</v>
      </c>
      <c r="L422" s="207">
        <v>-60</v>
      </c>
      <c r="M422" s="207">
        <v>0</v>
      </c>
      <c r="N422" s="207">
        <v>0</v>
      </c>
      <c r="O422" s="199" t="s">
        <v>731</v>
      </c>
      <c r="P422" s="692"/>
      <c r="Q422" s="692"/>
      <c r="R422" s="208"/>
      <c r="S422" s="301">
        <v>34019</v>
      </c>
      <c r="T422" s="115"/>
      <c r="U422" s="202">
        <v>1.2999999999999999E-3</v>
      </c>
      <c r="V422" s="202">
        <v>2.5000000000000001E-3</v>
      </c>
      <c r="W422" s="115"/>
      <c r="X422" s="115"/>
      <c r="Y422" s="115"/>
    </row>
    <row r="423" spans="1:35" ht="20.45">
      <c r="A423" s="152">
        <v>44976</v>
      </c>
      <c r="B423" s="152"/>
      <c r="C423" s="700" t="s">
        <v>724</v>
      </c>
      <c r="D423" s="207">
        <v>20.520499999999998</v>
      </c>
      <c r="E423" s="207">
        <v>23.804500000000001</v>
      </c>
      <c r="F423" s="207">
        <v>21.690999999999999</v>
      </c>
      <c r="G423" s="207">
        <v>23.884</v>
      </c>
      <c r="H423" s="207">
        <v>24.13</v>
      </c>
      <c r="I423" s="207">
        <v>23.77</v>
      </c>
      <c r="J423" s="206" t="s">
        <v>730</v>
      </c>
      <c r="K423" s="206">
        <v>-65</v>
      </c>
      <c r="L423" s="207">
        <v>-60</v>
      </c>
      <c r="M423" s="207">
        <v>0</v>
      </c>
      <c r="N423" s="207">
        <v>0</v>
      </c>
      <c r="O423" s="199" t="s">
        <v>82</v>
      </c>
      <c r="P423" s="692"/>
      <c r="Q423" s="692"/>
      <c r="R423" s="208"/>
      <c r="S423" s="301">
        <v>33843</v>
      </c>
      <c r="T423" s="115"/>
      <c r="U423" s="201"/>
      <c r="V423" s="201"/>
      <c r="W423" s="125">
        <v>807.7</v>
      </c>
      <c r="X423" s="125">
        <v>601.70000000000005</v>
      </c>
      <c r="Y423" s="115"/>
    </row>
    <row r="424" spans="1:35" ht="20.45">
      <c r="A424" s="152">
        <v>44976</v>
      </c>
      <c r="B424" s="152"/>
      <c r="C424" s="700" t="s">
        <v>725</v>
      </c>
      <c r="D424" s="207">
        <v>20.520499999999998</v>
      </c>
      <c r="E424" s="207">
        <v>23.804500000000001</v>
      </c>
      <c r="F424" s="207">
        <v>21.690999999999999</v>
      </c>
      <c r="G424" s="207">
        <v>23.884</v>
      </c>
      <c r="H424" s="207">
        <v>24.13</v>
      </c>
      <c r="I424" s="207">
        <v>23.77</v>
      </c>
      <c r="J424" s="206" t="s">
        <v>730</v>
      </c>
      <c r="K424" s="206">
        <v>-65</v>
      </c>
      <c r="L424" s="207">
        <v>-60</v>
      </c>
      <c r="M424" s="207">
        <v>0</v>
      </c>
      <c r="N424" s="207">
        <v>0</v>
      </c>
      <c r="O424" s="692"/>
      <c r="P424" s="692"/>
      <c r="Q424" s="197">
        <v>24</v>
      </c>
      <c r="R424" s="197">
        <v>4.0315060000000003</v>
      </c>
      <c r="T424" s="115"/>
      <c r="U424" s="201"/>
      <c r="V424" s="201"/>
      <c r="W424" s="115"/>
      <c r="X424" s="115"/>
      <c r="Y424" s="115"/>
    </row>
    <row r="425" spans="1:35" ht="20.45">
      <c r="A425" s="152">
        <v>44976</v>
      </c>
      <c r="B425" s="152"/>
      <c r="C425" s="700" t="s">
        <v>726</v>
      </c>
      <c r="D425" s="207">
        <v>20.520499999999998</v>
      </c>
      <c r="E425" s="207">
        <v>23.804500000000001</v>
      </c>
      <c r="F425" s="207">
        <v>21.690999999999999</v>
      </c>
      <c r="G425" s="207">
        <v>23.884</v>
      </c>
      <c r="H425" s="207">
        <v>24.63</v>
      </c>
      <c r="I425" s="207">
        <v>23.23</v>
      </c>
      <c r="J425" s="206" t="s">
        <v>730</v>
      </c>
      <c r="K425" s="206">
        <v>-65</v>
      </c>
      <c r="L425" s="207">
        <v>-60</v>
      </c>
      <c r="M425" s="207">
        <v>0</v>
      </c>
      <c r="N425" s="207">
        <v>0</v>
      </c>
      <c r="O425" s="692"/>
      <c r="P425" s="692"/>
      <c r="Q425" s="197">
        <v>12</v>
      </c>
      <c r="R425" s="197">
        <v>4.7623800000000003</v>
      </c>
      <c r="T425" s="115"/>
      <c r="U425" s="201"/>
      <c r="V425" s="201"/>
      <c r="W425" s="115"/>
      <c r="X425" s="115"/>
      <c r="Y425" s="115"/>
    </row>
    <row r="426" spans="1:35">
      <c r="A426" s="152">
        <v>44976</v>
      </c>
      <c r="B426" s="152"/>
      <c r="C426" s="700" t="s">
        <v>31</v>
      </c>
      <c r="D426" s="207">
        <v>20.520499999999998</v>
      </c>
      <c r="E426" s="207">
        <v>23.804500000000001</v>
      </c>
      <c r="F426" s="207">
        <v>21.690999999999999</v>
      </c>
      <c r="G426" s="207">
        <v>23.884</v>
      </c>
      <c r="H426" s="207">
        <v>24.13</v>
      </c>
      <c r="I426" s="207">
        <v>23.77</v>
      </c>
      <c r="J426" s="197">
        <v>101.501</v>
      </c>
      <c r="K426" s="197">
        <v>125.71</v>
      </c>
      <c r="L426" s="197">
        <v>-1E-4</v>
      </c>
      <c r="M426" s="197">
        <v>0.1087</v>
      </c>
      <c r="N426" s="197">
        <v>6.3560000000000005E-2</v>
      </c>
      <c r="O426" s="197" t="s">
        <v>68</v>
      </c>
      <c r="P426" s="692"/>
      <c r="Q426" s="692"/>
      <c r="R426" s="692"/>
      <c r="S426" s="301">
        <v>35923</v>
      </c>
      <c r="T426" s="115"/>
      <c r="U426" s="202">
        <v>-2.2000000000000001E-3</v>
      </c>
      <c r="V426" s="202">
        <v>8.3999999999999995E-3</v>
      </c>
      <c r="W426" s="115"/>
      <c r="X426" s="115"/>
      <c r="Y426" s="115"/>
      <c r="AA426" s="224">
        <v>0.5805555555555556</v>
      </c>
      <c r="AB426" s="164">
        <v>304.7</v>
      </c>
      <c r="AC426" s="164">
        <v>301</v>
      </c>
      <c r="AD426" s="164">
        <v>300.8</v>
      </c>
      <c r="AE426" s="164">
        <v>302.39999999999998</v>
      </c>
      <c r="AF426" s="164">
        <v>304.10000000000002</v>
      </c>
      <c r="AG426" s="164">
        <v>300.39999999999998</v>
      </c>
      <c r="AH426" s="164">
        <v>302.39999999999998</v>
      </c>
      <c r="AI426" s="164" t="s">
        <v>690</v>
      </c>
    </row>
    <row r="427" spans="1:35">
      <c r="A427" s="152">
        <v>44976</v>
      </c>
      <c r="B427" s="152"/>
      <c r="C427" s="700" t="s">
        <v>32</v>
      </c>
      <c r="D427" s="207">
        <v>20.520499999999998</v>
      </c>
      <c r="E427" s="207">
        <v>23.804500000000001</v>
      </c>
      <c r="F427" s="207">
        <v>21.690999999999999</v>
      </c>
      <c r="G427" s="207">
        <v>23.884</v>
      </c>
      <c r="H427" s="207">
        <v>24.13</v>
      </c>
      <c r="I427" s="207">
        <v>23.77</v>
      </c>
      <c r="J427" s="197">
        <v>88.371300000000005</v>
      </c>
      <c r="K427" s="197">
        <v>108.246</v>
      </c>
      <c r="L427" s="197">
        <v>-8.9999999999999998E-4</v>
      </c>
      <c r="M427" s="197">
        <v>0.10879999999999999</v>
      </c>
      <c r="N427" s="197">
        <v>6.3600000000000004E-2</v>
      </c>
      <c r="O427" s="199">
        <v>1131</v>
      </c>
      <c r="P427" s="692"/>
      <c r="Q427" s="692"/>
      <c r="R427" s="692"/>
      <c r="S427" s="301">
        <v>40651</v>
      </c>
      <c r="T427" s="115"/>
      <c r="U427" s="201"/>
      <c r="V427" s="201"/>
      <c r="W427" s="125">
        <v>807.7</v>
      </c>
      <c r="X427" s="125">
        <v>601.6</v>
      </c>
      <c r="Y427" s="115"/>
    </row>
    <row r="428" spans="1:35">
      <c r="A428" s="152">
        <v>44976</v>
      </c>
      <c r="B428" s="152"/>
      <c r="C428" s="700" t="s">
        <v>727</v>
      </c>
      <c r="D428" s="207">
        <v>20.520499999999998</v>
      </c>
      <c r="E428" s="207">
        <v>23.804500000000001</v>
      </c>
      <c r="F428" s="207">
        <v>21.690999999999999</v>
      </c>
      <c r="G428" s="207">
        <v>23.884</v>
      </c>
      <c r="H428" s="207">
        <v>24.13</v>
      </c>
      <c r="I428" s="207">
        <v>23.77</v>
      </c>
      <c r="J428" s="197">
        <v>67.696399999999997</v>
      </c>
      <c r="K428" s="197">
        <v>103.398</v>
      </c>
      <c r="L428" s="197">
        <v>-1.1000000000000001E-3</v>
      </c>
      <c r="M428" s="197">
        <v>0.10879999999999999</v>
      </c>
      <c r="N428" s="197">
        <v>6.3600000000000004E-2</v>
      </c>
      <c r="O428" s="692"/>
      <c r="P428" s="692"/>
      <c r="Q428" s="197">
        <v>16</v>
      </c>
      <c r="R428" s="197">
        <v>3.45905</v>
      </c>
      <c r="T428" s="115"/>
      <c r="U428" s="115"/>
      <c r="V428" s="115"/>
      <c r="W428" s="115"/>
      <c r="X428" s="115"/>
      <c r="Y428" s="115"/>
    </row>
    <row r="429" spans="1:35" ht="20.45">
      <c r="A429" s="152">
        <v>44976</v>
      </c>
      <c r="B429" s="152"/>
      <c r="C429" s="700" t="s">
        <v>728</v>
      </c>
      <c r="D429" s="207">
        <v>20.520499999999998</v>
      </c>
      <c r="E429" s="207">
        <v>23.804500000000001</v>
      </c>
      <c r="F429" s="207">
        <v>21.690999999999999</v>
      </c>
      <c r="G429" s="207">
        <v>23.884</v>
      </c>
      <c r="H429" s="207">
        <v>24.13</v>
      </c>
      <c r="I429" s="207">
        <v>23.77</v>
      </c>
      <c r="J429" s="197">
        <v>100.47799999999999</v>
      </c>
      <c r="K429" s="197">
        <v>103.3515</v>
      </c>
      <c r="L429" s="197">
        <v>-5.7000000000000002E-3</v>
      </c>
      <c r="M429" s="197">
        <v>0.1089</v>
      </c>
      <c r="N429" s="197">
        <v>6.3700000000000007E-2</v>
      </c>
      <c r="O429" s="199">
        <v>1132</v>
      </c>
      <c r="P429" s="692"/>
      <c r="Q429" s="692"/>
      <c r="R429" s="692"/>
      <c r="S429" s="301">
        <v>43246</v>
      </c>
      <c r="T429" s="115"/>
      <c r="U429" s="201"/>
      <c r="V429" s="201"/>
      <c r="W429" s="125">
        <v>807</v>
      </c>
      <c r="X429" s="125">
        <v>601</v>
      </c>
      <c r="Y429" s="125">
        <v>128.19999999999999</v>
      </c>
      <c r="AA429" s="224">
        <v>0.60902777777777783</v>
      </c>
      <c r="AB429" s="164">
        <v>304.89999999999998</v>
      </c>
      <c r="AC429" s="164">
        <v>301</v>
      </c>
      <c r="AD429" s="164">
        <v>300.89999999999998</v>
      </c>
      <c r="AE429" s="164">
        <v>302.39999999999998</v>
      </c>
      <c r="AF429" s="164">
        <v>306.5</v>
      </c>
      <c r="AG429" s="164">
        <v>300.5</v>
      </c>
      <c r="AH429" s="164">
        <v>302.8</v>
      </c>
      <c r="AI429" s="164" t="s">
        <v>690</v>
      </c>
    </row>
    <row r="430" spans="1:35" ht="21.6">
      <c r="A430" s="126" t="s">
        <v>0</v>
      </c>
      <c r="B430" s="126"/>
      <c r="C430" s="272" t="s">
        <v>375</v>
      </c>
      <c r="D430" s="750" t="s">
        <v>6</v>
      </c>
      <c r="E430" s="750"/>
      <c r="F430" s="750" t="s">
        <v>7</v>
      </c>
      <c r="G430" s="750"/>
      <c r="H430" s="750" t="s">
        <v>8</v>
      </c>
      <c r="I430" s="750"/>
      <c r="J430" s="696" t="s">
        <v>629</v>
      </c>
      <c r="K430" s="696" t="s">
        <v>630</v>
      </c>
      <c r="L430" s="696" t="s">
        <v>631</v>
      </c>
      <c r="M430" s="696" t="s">
        <v>632</v>
      </c>
      <c r="N430" s="696" t="s">
        <v>633</v>
      </c>
      <c r="O430" s="696" t="s">
        <v>14</v>
      </c>
      <c r="P430" s="696" t="s">
        <v>595</v>
      </c>
      <c r="Q430" s="696" t="s">
        <v>15</v>
      </c>
      <c r="R430" s="696" t="s">
        <v>16</v>
      </c>
      <c r="S430" s="303" t="s">
        <v>17</v>
      </c>
      <c r="T430" s="126" t="s">
        <v>419</v>
      </c>
      <c r="U430" s="203" t="s">
        <v>420</v>
      </c>
      <c r="V430" s="203" t="s">
        <v>421</v>
      </c>
      <c r="W430" s="126" t="s">
        <v>422</v>
      </c>
      <c r="X430" s="126" t="s">
        <v>423</v>
      </c>
      <c r="Y430" s="126"/>
    </row>
    <row r="431" spans="1:35">
      <c r="A431" s="152">
        <v>44978</v>
      </c>
      <c r="B431" s="152"/>
      <c r="C431" s="700" t="s">
        <v>32</v>
      </c>
      <c r="D431" s="207">
        <v>20.520499999999998</v>
      </c>
      <c r="E431" s="207">
        <v>23.804500000000001</v>
      </c>
      <c r="F431" s="207">
        <v>21.690999999999999</v>
      </c>
      <c r="G431" s="207">
        <v>23.884</v>
      </c>
      <c r="H431" s="207">
        <v>24.13</v>
      </c>
      <c r="I431" s="207">
        <v>23.77</v>
      </c>
      <c r="J431" s="692">
        <v>88.373000000000005</v>
      </c>
      <c r="K431" s="692">
        <v>108.247</v>
      </c>
      <c r="L431" s="692"/>
      <c r="M431" s="692">
        <v>0.108</v>
      </c>
      <c r="N431" s="692">
        <v>6.3E-2</v>
      </c>
      <c r="O431" s="168">
        <v>1132</v>
      </c>
      <c r="P431" s="692"/>
      <c r="Q431" s="692"/>
      <c r="R431" s="692"/>
      <c r="T431" s="115"/>
      <c r="U431" s="115"/>
      <c r="V431" s="115"/>
      <c r="W431" s="115">
        <v>809.7</v>
      </c>
      <c r="X431" s="115">
        <v>601.79999999999995</v>
      </c>
      <c r="Y431" s="115"/>
    </row>
    <row r="432" spans="1:35" ht="30.6">
      <c r="A432" s="115"/>
      <c r="B432" s="115"/>
      <c r="C432" s="700" t="s">
        <v>732</v>
      </c>
      <c r="D432" s="207">
        <v>20.520499999999998</v>
      </c>
      <c r="E432" s="207">
        <v>23.804500000000001</v>
      </c>
      <c r="F432" s="207">
        <v>21.690999999999999</v>
      </c>
      <c r="G432" s="207">
        <v>23.884</v>
      </c>
      <c r="H432" s="207">
        <v>24.13</v>
      </c>
      <c r="I432" s="207">
        <v>23.77</v>
      </c>
      <c r="J432" s="692"/>
      <c r="K432" s="692"/>
      <c r="L432" s="692"/>
      <c r="M432" s="692"/>
      <c r="N432" s="692"/>
      <c r="O432" s="168">
        <v>1129</v>
      </c>
      <c r="P432" s="692"/>
      <c r="Q432" s="692"/>
      <c r="R432" s="692"/>
      <c r="S432" s="291">
        <v>4953</v>
      </c>
      <c r="T432" s="115"/>
      <c r="U432" s="115"/>
      <c r="V432" s="115"/>
      <c r="W432" s="115">
        <v>808.9</v>
      </c>
      <c r="X432" s="115">
        <v>602.1</v>
      </c>
      <c r="Y432" s="115"/>
    </row>
    <row r="433" spans="1:25">
      <c r="A433" s="115"/>
      <c r="B433" s="115"/>
      <c r="C433" s="700"/>
      <c r="D433" s="207">
        <v>20.520499999999998</v>
      </c>
      <c r="E433" s="207">
        <v>23.804500000000001</v>
      </c>
      <c r="F433" s="207">
        <v>21.690999999999999</v>
      </c>
      <c r="G433" s="207">
        <v>23.884</v>
      </c>
      <c r="H433" s="207">
        <v>24.13</v>
      </c>
      <c r="I433" s="207">
        <v>23.77</v>
      </c>
      <c r="J433" s="692"/>
      <c r="K433" s="692"/>
      <c r="L433" s="692"/>
      <c r="M433" s="692"/>
      <c r="N433" s="692"/>
      <c r="O433" s="168">
        <v>1130</v>
      </c>
      <c r="P433" s="692"/>
      <c r="Q433" s="692"/>
      <c r="R433" s="692"/>
      <c r="S433" s="291">
        <v>5118</v>
      </c>
      <c r="T433" s="115"/>
      <c r="U433" s="115"/>
      <c r="V433" s="115"/>
      <c r="W433" s="115">
        <v>809</v>
      </c>
      <c r="X433" s="115">
        <v>602.6</v>
      </c>
      <c r="Y433" s="115"/>
    </row>
    <row r="434" spans="1:25">
      <c r="A434" s="115"/>
      <c r="B434" s="115"/>
      <c r="C434" s="700"/>
      <c r="D434" s="207">
        <v>20.520499999999998</v>
      </c>
      <c r="E434" s="207">
        <v>23.804500000000001</v>
      </c>
      <c r="F434" s="207">
        <v>21.690999999999999</v>
      </c>
      <c r="G434" s="207">
        <v>23.884</v>
      </c>
      <c r="H434" s="207">
        <v>24.13</v>
      </c>
      <c r="I434" s="207">
        <v>23.77</v>
      </c>
      <c r="J434" s="692"/>
      <c r="K434" s="692"/>
      <c r="L434" s="692"/>
      <c r="M434" s="692"/>
      <c r="N434" s="692"/>
      <c r="O434" s="168">
        <v>1131</v>
      </c>
      <c r="P434" s="692"/>
      <c r="Q434" s="692"/>
      <c r="R434" s="692"/>
      <c r="S434" s="291">
        <v>5229</v>
      </c>
      <c r="T434" s="115"/>
      <c r="U434" s="115"/>
      <c r="V434" s="115"/>
      <c r="W434" s="115">
        <v>809</v>
      </c>
      <c r="X434" s="115">
        <v>602</v>
      </c>
      <c r="Y434" s="115"/>
    </row>
    <row r="435" spans="1:25">
      <c r="A435" s="115"/>
      <c r="B435" s="115"/>
      <c r="C435" s="700"/>
      <c r="D435" s="207">
        <v>20.520499999999998</v>
      </c>
      <c r="E435" s="207">
        <v>23.804500000000001</v>
      </c>
      <c r="F435" s="207">
        <v>21.690999999999999</v>
      </c>
      <c r="G435" s="207">
        <v>23.884</v>
      </c>
      <c r="H435" s="207">
        <v>24.13</v>
      </c>
      <c r="I435" s="207">
        <v>23.77</v>
      </c>
      <c r="J435" s="692"/>
      <c r="K435" s="692"/>
      <c r="L435" s="692"/>
      <c r="M435" s="692"/>
      <c r="N435" s="692"/>
      <c r="O435" s="168">
        <v>1132</v>
      </c>
      <c r="P435" s="692"/>
      <c r="Q435" s="692"/>
      <c r="R435" s="692"/>
      <c r="S435" s="291">
        <v>5514</v>
      </c>
      <c r="T435" s="115"/>
      <c r="U435" s="115"/>
      <c r="V435" s="115"/>
      <c r="W435" s="115">
        <v>809</v>
      </c>
      <c r="X435" s="115">
        <v>602</v>
      </c>
      <c r="Y435" s="115"/>
    </row>
    <row r="436" spans="1:25">
      <c r="A436" s="115"/>
      <c r="B436" s="115"/>
      <c r="C436" s="700"/>
      <c r="D436" s="207">
        <v>20.520499999999998</v>
      </c>
      <c r="E436" s="207">
        <v>23.804500000000001</v>
      </c>
      <c r="F436" s="207">
        <v>21.690999999999999</v>
      </c>
      <c r="G436" s="207">
        <v>23.884</v>
      </c>
      <c r="H436" s="207">
        <v>24.13</v>
      </c>
      <c r="I436" s="207">
        <v>23.77</v>
      </c>
      <c r="J436" s="692"/>
      <c r="K436" s="692"/>
      <c r="L436" s="692"/>
      <c r="M436" s="692"/>
      <c r="N436" s="692"/>
      <c r="O436" s="168">
        <v>1133</v>
      </c>
      <c r="P436" s="692"/>
      <c r="Q436" s="692"/>
      <c r="R436" s="692"/>
      <c r="S436" s="291">
        <v>5709</v>
      </c>
      <c r="T436" s="115"/>
      <c r="U436" s="115"/>
      <c r="V436" s="115"/>
      <c r="W436" s="115">
        <v>809</v>
      </c>
      <c r="X436" s="115">
        <v>602</v>
      </c>
      <c r="Y436" s="115"/>
    </row>
    <row r="437" spans="1:25">
      <c r="A437" s="115"/>
      <c r="B437" s="115"/>
      <c r="C437" s="700" t="s">
        <v>733</v>
      </c>
      <c r="D437" s="207">
        <v>20.520499999999998</v>
      </c>
      <c r="E437" s="207">
        <v>23.804500000000001</v>
      </c>
      <c r="F437" s="207">
        <v>21.690999999999999</v>
      </c>
      <c r="G437" s="207">
        <v>23.884</v>
      </c>
      <c r="H437" s="207">
        <v>24.13</v>
      </c>
      <c r="I437" s="207">
        <v>23.77</v>
      </c>
      <c r="J437" s="692"/>
      <c r="K437" s="692"/>
      <c r="L437" s="692"/>
      <c r="M437" s="692"/>
      <c r="N437" s="692"/>
      <c r="O437" s="168">
        <v>1134</v>
      </c>
      <c r="P437" s="692"/>
      <c r="Q437" s="692"/>
      <c r="R437" s="692"/>
      <c r="S437" s="291">
        <v>5851</v>
      </c>
      <c r="T437" s="115"/>
      <c r="U437" s="115"/>
      <c r="V437" s="115"/>
      <c r="W437" s="115">
        <v>809</v>
      </c>
      <c r="X437" s="115">
        <v>602</v>
      </c>
      <c r="Y437" s="115"/>
    </row>
    <row r="438" spans="1:25">
      <c r="A438" s="115"/>
      <c r="B438" s="115"/>
      <c r="C438" s="700" t="s">
        <v>734</v>
      </c>
      <c r="D438" s="207">
        <v>20.520499999999998</v>
      </c>
      <c r="E438" s="207">
        <v>23.804500000000001</v>
      </c>
      <c r="F438" s="207">
        <v>21.690999999999999</v>
      </c>
      <c r="G438" s="207">
        <v>23.884</v>
      </c>
      <c r="H438" s="207">
        <v>24.13</v>
      </c>
      <c r="I438" s="207">
        <v>23.77</v>
      </c>
      <c r="J438" s="692"/>
      <c r="K438" s="692"/>
      <c r="L438" s="692"/>
      <c r="M438" s="692"/>
      <c r="N438" s="692"/>
      <c r="O438" s="168">
        <v>1130</v>
      </c>
      <c r="P438" s="692"/>
      <c r="Q438" s="692"/>
      <c r="R438" s="692"/>
      <c r="S438" s="291">
        <v>10652</v>
      </c>
      <c r="T438" s="115"/>
      <c r="U438" s="115"/>
      <c r="V438" s="115"/>
      <c r="W438" s="115">
        <v>808.1</v>
      </c>
      <c r="X438" s="115">
        <v>602.6</v>
      </c>
      <c r="Y438" s="115"/>
    </row>
    <row r="439" spans="1:25" ht="20.45">
      <c r="A439" s="115"/>
      <c r="B439" s="115"/>
      <c r="C439" s="700" t="s">
        <v>735</v>
      </c>
      <c r="D439" s="207">
        <v>20.520499999999998</v>
      </c>
      <c r="E439" s="207">
        <v>23.804500000000001</v>
      </c>
      <c r="F439" s="207">
        <v>21.690999999999999</v>
      </c>
      <c r="G439" s="207">
        <v>23.884</v>
      </c>
      <c r="H439" s="207">
        <v>24.13</v>
      </c>
      <c r="I439" s="207">
        <v>23.77</v>
      </c>
      <c r="J439" s="692"/>
      <c r="K439" s="692"/>
      <c r="L439" s="692"/>
      <c r="M439" s="692"/>
      <c r="N439" s="692"/>
      <c r="O439" s="168">
        <v>1130</v>
      </c>
      <c r="P439" s="692"/>
      <c r="Q439" s="692"/>
      <c r="R439" s="692"/>
      <c r="T439" s="115"/>
      <c r="U439" s="115"/>
      <c r="V439" s="115"/>
      <c r="W439" s="115">
        <v>806.8</v>
      </c>
      <c r="X439" s="115">
        <v>608.79999999999995</v>
      </c>
      <c r="Y439" s="115"/>
    </row>
    <row r="440" spans="1:25" ht="30.6">
      <c r="A440" s="115"/>
      <c r="B440" s="115"/>
      <c r="C440" s="700" t="s">
        <v>736</v>
      </c>
      <c r="D440" s="207">
        <v>20.527999999999999</v>
      </c>
      <c r="E440" s="207">
        <v>23.809000000000001</v>
      </c>
      <c r="F440" s="207">
        <v>21.690999999999999</v>
      </c>
      <c r="G440" s="207">
        <v>23.884</v>
      </c>
      <c r="H440" s="207">
        <v>24.13</v>
      </c>
      <c r="I440" s="207">
        <v>23.77</v>
      </c>
      <c r="J440" s="692"/>
      <c r="K440" s="692"/>
      <c r="L440" s="692"/>
      <c r="M440" s="692"/>
      <c r="N440" s="692"/>
      <c r="O440" s="168">
        <v>1130</v>
      </c>
      <c r="P440" s="692"/>
      <c r="Q440" s="692"/>
      <c r="R440" s="692"/>
      <c r="T440" s="115"/>
      <c r="U440" s="115"/>
      <c r="V440" s="115"/>
      <c r="W440" s="115">
        <v>808</v>
      </c>
      <c r="X440" s="115">
        <v>601.70000000000005</v>
      </c>
      <c r="Y440" s="115"/>
    </row>
    <row r="441" spans="1:25" ht="20.45">
      <c r="A441" s="115"/>
      <c r="B441" s="115"/>
      <c r="C441" s="700" t="s">
        <v>737</v>
      </c>
      <c r="D441" s="207">
        <v>20.527999999999999</v>
      </c>
      <c r="E441" s="207">
        <v>23.809000000000001</v>
      </c>
      <c r="F441" s="207">
        <v>21.690999999999999</v>
      </c>
      <c r="G441" s="207">
        <v>23.884</v>
      </c>
      <c r="H441" s="207">
        <v>24.13</v>
      </c>
      <c r="I441" s="207">
        <v>23.77</v>
      </c>
      <c r="J441" s="692"/>
      <c r="K441" s="692"/>
      <c r="L441" s="692"/>
      <c r="M441" s="692"/>
      <c r="N441" s="692"/>
      <c r="O441" s="692"/>
      <c r="P441" s="692"/>
      <c r="Q441" s="692"/>
      <c r="R441" s="692"/>
      <c r="T441" s="115"/>
      <c r="U441" s="115"/>
      <c r="V441" s="115"/>
      <c r="W441" s="115">
        <v>900.9</v>
      </c>
      <c r="X441" s="115">
        <v>729.7</v>
      </c>
      <c r="Y441" s="115"/>
    </row>
    <row r="442" spans="1:25" ht="40.9">
      <c r="A442" s="115"/>
      <c r="B442" s="115"/>
      <c r="C442" s="700" t="s">
        <v>738</v>
      </c>
      <c r="D442" s="207">
        <v>20.64</v>
      </c>
      <c r="E442" s="207">
        <v>23.74</v>
      </c>
      <c r="F442" s="207">
        <v>21.690999999999999</v>
      </c>
      <c r="G442" s="207">
        <v>23.884</v>
      </c>
      <c r="H442" s="692"/>
      <c r="I442" s="692"/>
      <c r="J442" s="692">
        <v>100.48</v>
      </c>
      <c r="K442" s="692">
        <v>100.352</v>
      </c>
      <c r="L442" s="692"/>
      <c r="M442" s="692">
        <v>0.108</v>
      </c>
      <c r="N442" s="692">
        <v>6.4000000000000001E-2</v>
      </c>
      <c r="O442" s="168">
        <v>1130</v>
      </c>
      <c r="P442" s="692"/>
      <c r="Q442" s="692"/>
      <c r="R442" s="692"/>
      <c r="S442" s="291">
        <v>21340</v>
      </c>
      <c r="T442" s="115"/>
      <c r="U442" s="115"/>
      <c r="V442" s="115"/>
      <c r="W442" s="115"/>
      <c r="X442" s="115"/>
      <c r="Y442" s="115"/>
    </row>
    <row r="443" spans="1:25" ht="40.9">
      <c r="A443" s="115"/>
      <c r="B443" s="115"/>
      <c r="C443" s="700" t="s">
        <v>739</v>
      </c>
      <c r="D443" s="207">
        <v>20.64</v>
      </c>
      <c r="E443" s="207">
        <v>23.74</v>
      </c>
      <c r="F443" s="207">
        <v>21.690999999999999</v>
      </c>
      <c r="G443" s="207">
        <v>23.884</v>
      </c>
      <c r="H443" s="692">
        <v>24.35</v>
      </c>
      <c r="I443" s="692">
        <v>23.42</v>
      </c>
      <c r="J443" s="692"/>
      <c r="K443" s="692"/>
      <c r="L443" s="692"/>
      <c r="M443" s="692"/>
      <c r="N443" s="692"/>
      <c r="O443" s="168">
        <v>1149</v>
      </c>
      <c r="P443" s="692"/>
      <c r="Q443" s="692"/>
      <c r="R443" s="692"/>
      <c r="S443" s="291">
        <v>31221</v>
      </c>
      <c r="T443" s="115"/>
      <c r="U443" s="115"/>
      <c r="V443" s="115"/>
      <c r="W443" s="115"/>
      <c r="X443" s="115"/>
      <c r="Y443" s="115">
        <v>125</v>
      </c>
    </row>
    <row r="444" spans="1:25" ht="57.6">
      <c r="A444" s="115"/>
      <c r="B444" s="115"/>
      <c r="C444" s="274" t="s">
        <v>738</v>
      </c>
      <c r="D444" s="207">
        <v>20.64</v>
      </c>
      <c r="E444" s="207">
        <v>23.74</v>
      </c>
      <c r="F444" s="207">
        <v>21.690999999999999</v>
      </c>
      <c r="G444" s="207">
        <v>23.884</v>
      </c>
      <c r="H444" s="692"/>
      <c r="I444" s="692"/>
      <c r="J444" s="692"/>
      <c r="K444" s="692"/>
      <c r="L444" s="692"/>
      <c r="M444" s="692"/>
      <c r="N444" s="692"/>
      <c r="O444" s="168">
        <v>1127</v>
      </c>
      <c r="P444" s="692"/>
      <c r="Q444" s="692"/>
      <c r="R444" s="692"/>
      <c r="S444" s="291">
        <v>32025</v>
      </c>
      <c r="T444" s="115"/>
      <c r="U444" s="115"/>
      <c r="V444" s="115"/>
      <c r="W444" s="115"/>
      <c r="X444" s="115"/>
      <c r="Y444" s="115">
        <v>130</v>
      </c>
    </row>
    <row r="445" spans="1:25">
      <c r="A445" s="115"/>
      <c r="B445" s="115"/>
      <c r="C445" s="700" t="s">
        <v>32</v>
      </c>
      <c r="D445" s="692">
        <v>20.520499999999998</v>
      </c>
      <c r="E445" s="692">
        <v>23.803999999999998</v>
      </c>
      <c r="F445" s="207">
        <v>21.690999999999999</v>
      </c>
      <c r="G445" s="207">
        <v>23.884</v>
      </c>
      <c r="H445" s="692"/>
      <c r="I445" s="692"/>
      <c r="J445" s="692"/>
      <c r="K445" s="692"/>
      <c r="L445" s="692"/>
      <c r="M445" s="692"/>
      <c r="N445" s="692"/>
      <c r="O445" s="168">
        <v>1133</v>
      </c>
      <c r="P445" s="692"/>
      <c r="Q445" s="692"/>
      <c r="R445" s="692"/>
      <c r="T445" s="115"/>
      <c r="U445" s="115"/>
      <c r="V445" s="115"/>
      <c r="W445" s="115">
        <v>807.7</v>
      </c>
      <c r="X445" s="115">
        <v>602</v>
      </c>
      <c r="Y445" s="115"/>
    </row>
    <row r="446" spans="1:25" ht="40.9">
      <c r="A446" s="115"/>
      <c r="B446" s="115"/>
      <c r="C446" s="700" t="s">
        <v>739</v>
      </c>
      <c r="D446" s="692">
        <v>20.520499999999998</v>
      </c>
      <c r="E446" s="692">
        <v>23.803999999999998</v>
      </c>
      <c r="F446" s="207">
        <v>21.690999999999999</v>
      </c>
      <c r="G446" s="207">
        <v>23.884</v>
      </c>
      <c r="H446" s="692"/>
      <c r="I446" s="692"/>
      <c r="J446" s="692"/>
      <c r="K446" s="692"/>
      <c r="L446" s="692"/>
      <c r="M446" s="692"/>
      <c r="N446" s="692"/>
      <c r="O446" s="168">
        <v>1121</v>
      </c>
      <c r="P446" s="692"/>
      <c r="Q446" s="692"/>
      <c r="R446" s="692"/>
      <c r="S446" s="291">
        <v>40226</v>
      </c>
      <c r="T446" s="115"/>
      <c r="U446" s="115"/>
      <c r="V446" s="115"/>
      <c r="W446" s="115"/>
      <c r="X446" s="115"/>
      <c r="Y446" s="115"/>
    </row>
    <row r="447" spans="1:25">
      <c r="A447" s="115"/>
      <c r="B447" s="115"/>
      <c r="C447" s="275" t="s">
        <v>738</v>
      </c>
      <c r="D447" s="692">
        <v>20.520499999999998</v>
      </c>
      <c r="E447" s="692">
        <v>23.803999999999998</v>
      </c>
      <c r="F447" s="207">
        <v>21.690999999999999</v>
      </c>
      <c r="G447" s="207">
        <v>23.884</v>
      </c>
      <c r="H447" s="692">
        <v>24.4</v>
      </c>
      <c r="I447" s="692">
        <v>23.49</v>
      </c>
      <c r="J447" s="692"/>
      <c r="K447" s="692"/>
      <c r="L447" s="692"/>
      <c r="M447" s="692"/>
      <c r="N447" s="692"/>
      <c r="O447" s="168">
        <v>1143</v>
      </c>
      <c r="P447" s="692"/>
      <c r="Q447" s="692"/>
      <c r="R447" s="692"/>
      <c r="S447" s="291">
        <v>42830</v>
      </c>
      <c r="T447" s="115"/>
      <c r="U447" s="115"/>
      <c r="V447" s="115"/>
      <c r="W447" s="115">
        <v>805</v>
      </c>
      <c r="X447" s="115">
        <v>600</v>
      </c>
      <c r="Y447" s="115"/>
    </row>
    <row r="448" spans="1:25" ht="30.6">
      <c r="A448" s="115"/>
      <c r="B448" s="115"/>
      <c r="C448" s="700" t="s">
        <v>740</v>
      </c>
      <c r="D448" s="692"/>
      <c r="E448" s="692"/>
      <c r="F448" s="692"/>
      <c r="G448" s="692"/>
      <c r="H448" s="692"/>
      <c r="I448" s="692"/>
      <c r="J448" s="692">
        <v>88.375</v>
      </c>
      <c r="K448" s="692">
        <v>108.245</v>
      </c>
      <c r="L448" s="692"/>
      <c r="M448" s="692">
        <v>0.108</v>
      </c>
      <c r="N448" s="692">
        <v>6.3700000000000007E-2</v>
      </c>
      <c r="O448" s="692"/>
      <c r="P448" s="692"/>
      <c r="Q448" s="692"/>
      <c r="R448" s="692"/>
      <c r="S448" s="291">
        <v>51921</v>
      </c>
      <c r="T448" s="115"/>
      <c r="U448" s="115"/>
      <c r="V448" s="115"/>
      <c r="W448" s="115">
        <v>807.3</v>
      </c>
      <c r="X448" s="115">
        <v>601.79999999999995</v>
      </c>
      <c r="Y448" s="115"/>
    </row>
    <row r="449" spans="1:26" ht="21.6">
      <c r="A449" s="126" t="s">
        <v>0</v>
      </c>
      <c r="B449" s="126"/>
      <c r="C449" s="272" t="s">
        <v>375</v>
      </c>
      <c r="D449" s="750" t="s">
        <v>6</v>
      </c>
      <c r="E449" s="750"/>
      <c r="F449" s="750" t="s">
        <v>7</v>
      </c>
      <c r="G449" s="750"/>
      <c r="H449" s="750" t="s">
        <v>8</v>
      </c>
      <c r="I449" s="750"/>
      <c r="J449" s="696" t="s">
        <v>629</v>
      </c>
      <c r="K449" s="696" t="s">
        <v>630</v>
      </c>
      <c r="L449" s="696" t="s">
        <v>631</v>
      </c>
      <c r="M449" s="696" t="s">
        <v>632</v>
      </c>
      <c r="N449" s="696" t="s">
        <v>633</v>
      </c>
      <c r="O449" s="696" t="s">
        <v>14</v>
      </c>
      <c r="P449" s="696" t="s">
        <v>595</v>
      </c>
      <c r="Q449" s="696" t="s">
        <v>15</v>
      </c>
      <c r="R449" s="696" t="s">
        <v>16</v>
      </c>
      <c r="S449" s="303" t="s">
        <v>17</v>
      </c>
      <c r="T449" s="126" t="s">
        <v>419</v>
      </c>
      <c r="U449" s="203" t="s">
        <v>420</v>
      </c>
      <c r="V449" s="203" t="s">
        <v>421</v>
      </c>
      <c r="W449" s="126" t="s">
        <v>422</v>
      </c>
      <c r="X449" s="126" t="s">
        <v>423</v>
      </c>
      <c r="Y449" s="126"/>
    </row>
    <row r="450" spans="1:26">
      <c r="A450" s="152">
        <v>44979</v>
      </c>
      <c r="B450" s="152"/>
      <c r="C450" s="700" t="s">
        <v>722</v>
      </c>
      <c r="D450" s="197">
        <v>20.520499999999998</v>
      </c>
      <c r="E450" s="197">
        <v>23.803999999999998</v>
      </c>
      <c r="F450" s="197">
        <v>21.690999999999999</v>
      </c>
      <c r="G450" s="197">
        <v>23.884</v>
      </c>
      <c r="H450" s="197">
        <v>24.63</v>
      </c>
      <c r="I450" s="197">
        <v>23.23</v>
      </c>
      <c r="J450" s="206" t="s">
        <v>730</v>
      </c>
      <c r="K450" s="206">
        <v>-65</v>
      </c>
      <c r="L450" s="226">
        <v>-60</v>
      </c>
      <c r="M450" s="226">
        <v>0</v>
      </c>
      <c r="N450" s="226">
        <v>0</v>
      </c>
      <c r="O450" s="692"/>
      <c r="P450" s="692"/>
      <c r="Q450" s="197">
        <v>13</v>
      </c>
      <c r="R450" s="197">
        <v>4.7623759999999997</v>
      </c>
      <c r="T450" s="115"/>
      <c r="U450" s="201"/>
      <c r="V450" s="201"/>
      <c r="W450" s="115"/>
      <c r="X450" s="115"/>
      <c r="Y450" s="115"/>
    </row>
    <row r="451" spans="1:26">
      <c r="A451" s="152">
        <v>44979</v>
      </c>
      <c r="B451" s="152"/>
      <c r="C451" s="700" t="s">
        <v>27</v>
      </c>
      <c r="D451" s="197">
        <v>20.520499999999998</v>
      </c>
      <c r="E451" s="197">
        <v>23.803999999999998</v>
      </c>
      <c r="F451" s="197">
        <v>21.690999999999999</v>
      </c>
      <c r="G451" s="197">
        <v>23.884</v>
      </c>
      <c r="H451" s="197">
        <v>24.14</v>
      </c>
      <c r="I451" s="197">
        <v>23.77</v>
      </c>
      <c r="J451" s="206" t="s">
        <v>730</v>
      </c>
      <c r="K451" s="206">
        <v>-65</v>
      </c>
      <c r="L451" s="226">
        <v>-60</v>
      </c>
      <c r="M451" s="226">
        <v>0</v>
      </c>
      <c r="N451" s="226">
        <v>0</v>
      </c>
      <c r="O451" s="692"/>
      <c r="P451" s="692"/>
      <c r="Q451" s="197">
        <v>38</v>
      </c>
      <c r="R451" s="197">
        <v>4.0315019999999997</v>
      </c>
      <c r="T451" s="115"/>
      <c r="U451" s="201"/>
      <c r="V451" s="201"/>
      <c r="W451" s="115"/>
      <c r="X451" s="115"/>
      <c r="Y451" s="115"/>
    </row>
    <row r="452" spans="1:26" ht="20.45">
      <c r="A452" s="152">
        <v>44979</v>
      </c>
      <c r="B452" s="152"/>
      <c r="C452" s="700" t="s">
        <v>723</v>
      </c>
      <c r="D452" s="197">
        <v>20.472000000000001</v>
      </c>
      <c r="E452" s="197">
        <v>23.805</v>
      </c>
      <c r="F452" s="197">
        <v>21.692799999999998</v>
      </c>
      <c r="G452" s="197">
        <v>23.840499999999999</v>
      </c>
      <c r="H452" s="197">
        <v>24.14</v>
      </c>
      <c r="I452" s="197">
        <v>23.77</v>
      </c>
      <c r="J452" s="206" t="s">
        <v>730</v>
      </c>
      <c r="K452" s="206">
        <v>-65</v>
      </c>
      <c r="L452" s="226">
        <v>-60</v>
      </c>
      <c r="M452" s="226">
        <v>0</v>
      </c>
      <c r="N452" s="226">
        <v>0</v>
      </c>
      <c r="O452" s="199" t="s">
        <v>741</v>
      </c>
      <c r="P452" s="692"/>
      <c r="Q452" s="197">
        <v>18</v>
      </c>
      <c r="R452" s="197">
        <v>4.0209799999999998</v>
      </c>
      <c r="S452" s="301">
        <v>61413</v>
      </c>
      <c r="T452" s="115"/>
      <c r="U452" s="202">
        <v>-1.5E-3</v>
      </c>
      <c r="V452" s="202">
        <v>2.8E-3</v>
      </c>
      <c r="W452" s="115"/>
      <c r="X452" s="115"/>
      <c r="Y452" s="115"/>
      <c r="Z452" s="163">
        <f>R452-R456</f>
        <v>0.54942999999999964</v>
      </c>
    </row>
    <row r="453" spans="1:26" ht="20.45">
      <c r="A453" s="152">
        <v>44979</v>
      </c>
      <c r="B453" s="152"/>
      <c r="C453" s="700" t="s">
        <v>724</v>
      </c>
      <c r="D453" s="197">
        <v>20.472000000000001</v>
      </c>
      <c r="E453" s="197">
        <v>23.805</v>
      </c>
      <c r="F453" s="197">
        <v>21.692799999999998</v>
      </c>
      <c r="G453" s="197">
        <v>23.840499999999999</v>
      </c>
      <c r="H453" s="197">
        <v>24.14</v>
      </c>
      <c r="I453" s="197">
        <v>23.77</v>
      </c>
      <c r="J453" s="206" t="s">
        <v>730</v>
      </c>
      <c r="K453" s="206">
        <v>-65</v>
      </c>
      <c r="L453" s="226">
        <v>-60</v>
      </c>
      <c r="M453" s="226">
        <v>0</v>
      </c>
      <c r="N453" s="226">
        <v>0</v>
      </c>
      <c r="O453" s="199" t="s">
        <v>345</v>
      </c>
      <c r="P453" s="692"/>
      <c r="Q453" s="692"/>
      <c r="R453" s="208"/>
      <c r="S453" s="301">
        <v>61639</v>
      </c>
      <c r="T453" s="115"/>
      <c r="U453" s="201"/>
      <c r="V453" s="201"/>
      <c r="W453" s="125">
        <v>806.7</v>
      </c>
      <c r="X453" s="125">
        <v>603.6</v>
      </c>
      <c r="Y453" s="115"/>
    </row>
    <row r="454" spans="1:26" ht="20.45">
      <c r="A454" s="152">
        <v>44979</v>
      </c>
      <c r="B454" s="152"/>
      <c r="C454" s="700" t="s">
        <v>725</v>
      </c>
      <c r="D454" s="197">
        <v>20.472000000000001</v>
      </c>
      <c r="E454" s="197">
        <v>23.805</v>
      </c>
      <c r="F454" s="197">
        <v>21.692799999999998</v>
      </c>
      <c r="G454" s="197">
        <v>23.840499999999999</v>
      </c>
      <c r="H454" s="197">
        <v>24.14</v>
      </c>
      <c r="I454" s="197">
        <v>23.77</v>
      </c>
      <c r="J454" s="206" t="s">
        <v>730</v>
      </c>
      <c r="K454" s="206">
        <v>-65</v>
      </c>
      <c r="L454" s="226">
        <v>-60</v>
      </c>
      <c r="M454" s="226">
        <v>0</v>
      </c>
      <c r="N454" s="226">
        <v>0</v>
      </c>
      <c r="O454" s="692"/>
      <c r="P454" s="692"/>
      <c r="Q454" s="197">
        <v>24</v>
      </c>
      <c r="R454" s="197">
        <v>4.0315060000000003</v>
      </c>
      <c r="T454" s="115"/>
      <c r="U454" s="201"/>
      <c r="V454" s="201"/>
      <c r="W454" s="115"/>
      <c r="X454" s="115"/>
      <c r="Y454" s="115"/>
    </row>
    <row r="455" spans="1:26" ht="20.45">
      <c r="A455" s="152">
        <v>44979</v>
      </c>
      <c r="B455" s="152"/>
      <c r="C455" s="700" t="s">
        <v>726</v>
      </c>
      <c r="D455" s="197">
        <v>20.472000000000001</v>
      </c>
      <c r="E455" s="197">
        <v>23.805</v>
      </c>
      <c r="F455" s="197">
        <v>21.692799999999998</v>
      </c>
      <c r="G455" s="197">
        <v>23.840499999999999</v>
      </c>
      <c r="H455" s="197">
        <v>24.63</v>
      </c>
      <c r="I455" s="197">
        <v>23.23</v>
      </c>
      <c r="J455" s="206" t="s">
        <v>730</v>
      </c>
      <c r="K455" s="206">
        <v>-65</v>
      </c>
      <c r="L455" s="226">
        <v>-60</v>
      </c>
      <c r="M455" s="226">
        <v>0</v>
      </c>
      <c r="N455" s="226">
        <v>0</v>
      </c>
      <c r="O455" s="692"/>
      <c r="P455" s="692"/>
      <c r="Q455" s="197">
        <v>13</v>
      </c>
      <c r="R455" s="197">
        <v>4.7623769999999999</v>
      </c>
      <c r="T455" s="115"/>
      <c r="U455" s="201"/>
      <c r="V455" s="201"/>
      <c r="W455" s="115"/>
      <c r="X455" s="115"/>
      <c r="Y455" s="115"/>
    </row>
    <row r="456" spans="1:26">
      <c r="A456" s="152">
        <v>44979</v>
      </c>
      <c r="B456" s="152"/>
      <c r="C456" s="700" t="s">
        <v>31</v>
      </c>
      <c r="D456" s="197">
        <v>20.472000000000001</v>
      </c>
      <c r="E456" s="197">
        <v>23.805</v>
      </c>
      <c r="F456" s="197">
        <v>21.692799999999998</v>
      </c>
      <c r="G456" s="197">
        <v>23.840499999999999</v>
      </c>
      <c r="H456" s="197">
        <v>24.44</v>
      </c>
      <c r="I456" s="197">
        <v>23.475000000000001</v>
      </c>
      <c r="J456" s="197">
        <v>101.502</v>
      </c>
      <c r="K456" s="197">
        <v>125.708</v>
      </c>
      <c r="L456" s="197">
        <v>0</v>
      </c>
      <c r="M456" s="197">
        <v>0.10836999999999999</v>
      </c>
      <c r="N456" s="197">
        <v>6.3320000000000001E-2</v>
      </c>
      <c r="O456" s="197" t="s">
        <v>68</v>
      </c>
      <c r="P456" s="692"/>
      <c r="Q456" s="197">
        <v>41</v>
      </c>
      <c r="R456" s="197">
        <v>3.4715500000000001</v>
      </c>
      <c r="S456" s="301">
        <v>64906</v>
      </c>
      <c r="T456" s="115"/>
      <c r="U456" s="202">
        <v>-4.8999999999999998E-3</v>
      </c>
      <c r="V456" s="202">
        <v>6.7000000000000002E-3</v>
      </c>
      <c r="W456" s="115"/>
      <c r="X456" s="115"/>
      <c r="Y456" s="115"/>
    </row>
    <row r="457" spans="1:26">
      <c r="A457" s="152">
        <v>44979</v>
      </c>
      <c r="B457" s="152"/>
      <c r="C457" s="700" t="s">
        <v>32</v>
      </c>
      <c r="D457" s="197">
        <v>20.472000000000001</v>
      </c>
      <c r="E457" s="197">
        <v>23.805</v>
      </c>
      <c r="F457" s="197">
        <v>21.692799999999998</v>
      </c>
      <c r="G457" s="197">
        <v>23.840499999999999</v>
      </c>
      <c r="H457" s="197">
        <v>24.44</v>
      </c>
      <c r="I457" s="197">
        <v>23.475000000000001</v>
      </c>
      <c r="J457" s="197">
        <v>88.370699999999999</v>
      </c>
      <c r="K457" s="197">
        <v>108.245</v>
      </c>
      <c r="L457" s="197">
        <v>0</v>
      </c>
      <c r="M457" s="197">
        <v>0.1085</v>
      </c>
      <c r="N457" s="197">
        <v>6.3299999999999995E-2</v>
      </c>
      <c r="O457" s="199">
        <v>1128</v>
      </c>
      <c r="P457" s="692"/>
      <c r="Q457" s="692"/>
      <c r="R457" s="692"/>
      <c r="S457" s="301">
        <v>70403</v>
      </c>
      <c r="T457" s="115"/>
      <c r="U457" s="201"/>
      <c r="V457" s="201"/>
      <c r="W457" s="125">
        <v>806.8</v>
      </c>
      <c r="X457" s="125">
        <v>604.6</v>
      </c>
      <c r="Y457" s="115"/>
    </row>
    <row r="458" spans="1:26" ht="20.45">
      <c r="A458" s="152">
        <v>44979</v>
      </c>
      <c r="B458" s="152"/>
      <c r="C458" s="700" t="s">
        <v>728</v>
      </c>
      <c r="D458" s="197">
        <v>20.472000000000001</v>
      </c>
      <c r="E458" s="197">
        <v>23.805</v>
      </c>
      <c r="F458" s="197">
        <v>21.692799999999998</v>
      </c>
      <c r="G458" s="197">
        <v>23.840499999999999</v>
      </c>
      <c r="H458" s="197">
        <v>24.395</v>
      </c>
      <c r="I458" s="197">
        <v>23.475000000000001</v>
      </c>
      <c r="J458" s="197">
        <v>100.479</v>
      </c>
      <c r="K458" s="197">
        <v>100.351</v>
      </c>
      <c r="L458" s="197">
        <v>2.0000000000000001E-4</v>
      </c>
      <c r="M458" s="197">
        <v>0.10854</v>
      </c>
      <c r="N458" s="197">
        <v>6.3399999999999998E-2</v>
      </c>
      <c r="O458" s="199">
        <v>1142</v>
      </c>
      <c r="P458" s="692"/>
      <c r="Q458" s="197">
        <v>31</v>
      </c>
      <c r="R458" s="197">
        <v>3.4582280000000001</v>
      </c>
      <c r="S458" s="301">
        <v>71815</v>
      </c>
      <c r="T458" s="115"/>
      <c r="U458" s="201"/>
      <c r="V458" s="201"/>
      <c r="W458" s="125">
        <v>806</v>
      </c>
      <c r="X458" s="125">
        <v>602</v>
      </c>
      <c r="Y458" s="115"/>
    </row>
    <row r="459" spans="1:26">
      <c r="A459" s="152">
        <v>44979</v>
      </c>
      <c r="B459" s="152"/>
      <c r="C459" s="700" t="s">
        <v>727</v>
      </c>
      <c r="D459" s="197">
        <v>20.472000000000001</v>
      </c>
      <c r="E459" s="197">
        <v>23.805</v>
      </c>
      <c r="F459" s="197">
        <v>21.692799999999998</v>
      </c>
      <c r="G459" s="197">
        <v>23.840499999999999</v>
      </c>
      <c r="H459" s="197">
        <v>24.14</v>
      </c>
      <c r="I459" s="197">
        <v>23.77</v>
      </c>
      <c r="J459" s="197">
        <v>67.694900000000004</v>
      </c>
      <c r="K459" s="197">
        <v>103.398</v>
      </c>
      <c r="L459" s="197">
        <v>-1E-4</v>
      </c>
      <c r="M459" s="197">
        <v>0.10854999999999999</v>
      </c>
      <c r="N459" s="197">
        <v>6.3409999999999994E-2</v>
      </c>
      <c r="O459" s="692"/>
      <c r="P459" s="692"/>
      <c r="Q459" s="197">
        <v>18</v>
      </c>
      <c r="R459" s="197">
        <v>3.4590510000000001</v>
      </c>
      <c r="T459" s="132"/>
      <c r="U459" s="132"/>
      <c r="V459" s="132"/>
      <c r="W459" s="132"/>
      <c r="X459" s="132"/>
      <c r="Y459" s="132"/>
    </row>
    <row r="460" spans="1:26" ht="21">
      <c r="A460" s="227" t="s">
        <v>742</v>
      </c>
      <c r="B460" s="227"/>
      <c r="C460" s="276"/>
      <c r="D460" s="692"/>
      <c r="E460" s="692"/>
      <c r="F460" s="692"/>
      <c r="G460" s="692"/>
      <c r="H460" s="692"/>
      <c r="I460" s="692"/>
      <c r="J460" s="692"/>
      <c r="K460" s="692"/>
      <c r="L460" s="692"/>
      <c r="M460" s="692"/>
      <c r="N460" s="692"/>
      <c r="O460" s="692"/>
      <c r="P460" s="692"/>
      <c r="Q460" s="692"/>
      <c r="R460" s="692"/>
      <c r="T460" s="115"/>
      <c r="U460" s="115"/>
      <c r="V460" s="115"/>
      <c r="W460" s="115"/>
      <c r="X460" s="115"/>
      <c r="Y460" s="115"/>
    </row>
    <row r="461" spans="1:26" ht="21.6">
      <c r="A461" s="126" t="s">
        <v>0</v>
      </c>
      <c r="B461" s="126"/>
      <c r="C461" s="272" t="s">
        <v>375</v>
      </c>
      <c r="D461" s="750" t="s">
        <v>6</v>
      </c>
      <c r="E461" s="750"/>
      <c r="F461" s="750" t="s">
        <v>7</v>
      </c>
      <c r="G461" s="750"/>
      <c r="H461" s="750" t="s">
        <v>8</v>
      </c>
      <c r="I461" s="750"/>
      <c r="J461" s="696" t="s">
        <v>629</v>
      </c>
      <c r="K461" s="696" t="s">
        <v>630</v>
      </c>
      <c r="L461" s="696" t="s">
        <v>631</v>
      </c>
      <c r="M461" s="696" t="s">
        <v>632</v>
      </c>
      <c r="N461" s="696" t="s">
        <v>633</v>
      </c>
      <c r="O461" s="696" t="s">
        <v>14</v>
      </c>
      <c r="P461" s="696" t="s">
        <v>595</v>
      </c>
      <c r="Q461" s="696" t="s">
        <v>15</v>
      </c>
      <c r="R461" s="696" t="s">
        <v>16</v>
      </c>
      <c r="S461" s="303" t="s">
        <v>17</v>
      </c>
      <c r="T461" s="126" t="s">
        <v>419</v>
      </c>
      <c r="U461" s="203" t="s">
        <v>420</v>
      </c>
      <c r="V461" s="203" t="s">
        <v>421</v>
      </c>
      <c r="W461" s="126" t="s">
        <v>422</v>
      </c>
      <c r="X461" s="126" t="s">
        <v>423</v>
      </c>
      <c r="Y461" s="115"/>
    </row>
    <row r="462" spans="1:26">
      <c r="A462" s="152">
        <v>44981</v>
      </c>
      <c r="B462" s="152"/>
      <c r="C462" s="700" t="s">
        <v>722</v>
      </c>
      <c r="D462" s="197">
        <v>20.472000000000001</v>
      </c>
      <c r="E462" s="197">
        <v>23.805</v>
      </c>
      <c r="F462" s="197">
        <v>21.692799999999998</v>
      </c>
      <c r="G462" s="197">
        <v>23.840499999999999</v>
      </c>
      <c r="H462" s="197">
        <v>24.63</v>
      </c>
      <c r="I462" s="197">
        <v>23.23</v>
      </c>
      <c r="J462" s="206" t="s">
        <v>730</v>
      </c>
      <c r="K462" s="206">
        <v>-65.001000000000005</v>
      </c>
      <c r="L462" s="226">
        <v>-60.003999999999998</v>
      </c>
      <c r="M462" s="226">
        <v>-4.0000000000000002E-4</v>
      </c>
      <c r="N462" s="226">
        <v>-2.9999999999999997E-4</v>
      </c>
      <c r="O462" s="692"/>
      <c r="P462" s="692"/>
      <c r="Q462" s="197">
        <v>7</v>
      </c>
      <c r="R462" s="197">
        <v>4.7617390000000004</v>
      </c>
      <c r="T462" s="115"/>
      <c r="U462" s="201"/>
      <c r="V462" s="201"/>
      <c r="W462" s="115"/>
      <c r="X462" s="115"/>
      <c r="Y462" s="115"/>
    </row>
    <row r="463" spans="1:26">
      <c r="A463" s="152">
        <v>44981</v>
      </c>
      <c r="B463" s="152"/>
      <c r="C463" s="700" t="s">
        <v>27</v>
      </c>
      <c r="D463" s="197">
        <v>20.472000000000001</v>
      </c>
      <c r="E463" s="197">
        <v>23.805</v>
      </c>
      <c r="F463" s="197">
        <v>21.692799999999998</v>
      </c>
      <c r="G463" s="197">
        <v>23.840499999999999</v>
      </c>
      <c r="H463" s="197">
        <v>24.14</v>
      </c>
      <c r="I463" s="197">
        <v>23.77</v>
      </c>
      <c r="J463" s="206" t="s">
        <v>730</v>
      </c>
      <c r="K463" s="206">
        <v>-65</v>
      </c>
      <c r="L463" s="226">
        <v>-60</v>
      </c>
      <c r="M463" s="226">
        <v>0</v>
      </c>
      <c r="N463" s="226">
        <v>0</v>
      </c>
      <c r="O463" s="692"/>
      <c r="P463" s="692"/>
      <c r="Q463" s="197">
        <v>31</v>
      </c>
      <c r="R463" s="197">
        <v>4.0308669999999998</v>
      </c>
      <c r="T463" s="115"/>
      <c r="U463" s="201"/>
      <c r="V463" s="201"/>
      <c r="W463" s="115"/>
      <c r="X463" s="115"/>
      <c r="Y463" s="115"/>
    </row>
    <row r="464" spans="1:26" ht="20.45">
      <c r="A464" s="152">
        <v>44981</v>
      </c>
      <c r="B464" s="152"/>
      <c r="C464" s="700" t="s">
        <v>723</v>
      </c>
      <c r="D464" s="197">
        <v>21.367000000000001</v>
      </c>
      <c r="E464" s="197">
        <v>23.196999999999999</v>
      </c>
      <c r="F464" s="197">
        <v>20.834299999999999</v>
      </c>
      <c r="G464" s="197">
        <v>24.673100000000002</v>
      </c>
      <c r="H464" s="197">
        <v>24.14</v>
      </c>
      <c r="I464" s="197">
        <v>23.77</v>
      </c>
      <c r="J464" s="206" t="s">
        <v>730</v>
      </c>
      <c r="K464" s="206">
        <v>-65</v>
      </c>
      <c r="L464" s="226">
        <v>-60</v>
      </c>
      <c r="M464" s="226">
        <v>0</v>
      </c>
      <c r="N464" s="226">
        <v>0</v>
      </c>
      <c r="O464" s="199" t="s">
        <v>75</v>
      </c>
      <c r="P464" s="692"/>
      <c r="Q464" s="692"/>
      <c r="R464" s="692"/>
      <c r="S464" s="301">
        <v>43426</v>
      </c>
      <c r="T464" s="115"/>
      <c r="U464" s="202">
        <v>-1.5E-3</v>
      </c>
      <c r="V464" s="202">
        <v>5.3E-3</v>
      </c>
      <c r="W464" s="115"/>
      <c r="X464" s="115"/>
      <c r="Y464" s="115"/>
    </row>
    <row r="465" spans="1:26" ht="20.45">
      <c r="A465" s="152">
        <v>44981</v>
      </c>
      <c r="B465" s="152"/>
      <c r="C465" s="700" t="s">
        <v>724</v>
      </c>
      <c r="D465" s="197">
        <v>21.367000000000001</v>
      </c>
      <c r="E465" s="197">
        <v>23.196999999999999</v>
      </c>
      <c r="F465" s="197">
        <v>20.834299999999999</v>
      </c>
      <c r="G465" s="197">
        <v>24.673100000000002</v>
      </c>
      <c r="H465" s="197">
        <v>24.14</v>
      </c>
      <c r="I465" s="197">
        <v>23.77</v>
      </c>
      <c r="J465" s="206" t="s">
        <v>730</v>
      </c>
      <c r="K465" s="206">
        <v>-65</v>
      </c>
      <c r="L465" s="226">
        <v>-60</v>
      </c>
      <c r="M465" s="226">
        <v>0</v>
      </c>
      <c r="N465" s="226">
        <v>0</v>
      </c>
      <c r="O465" s="199" t="s">
        <v>345</v>
      </c>
      <c r="P465" s="692"/>
      <c r="Q465" s="692"/>
      <c r="R465" s="208"/>
      <c r="S465" s="301">
        <v>43554</v>
      </c>
      <c r="T465" s="115"/>
      <c r="U465" s="201"/>
      <c r="V465" s="201"/>
      <c r="W465" s="125">
        <v>807.2</v>
      </c>
      <c r="X465" s="125">
        <v>601.9</v>
      </c>
      <c r="Y465" s="115"/>
    </row>
    <row r="466" spans="1:26" ht="30.6">
      <c r="A466" s="152">
        <v>44981</v>
      </c>
      <c r="B466" s="152"/>
      <c r="C466" s="277" t="s">
        <v>743</v>
      </c>
      <c r="D466" s="197">
        <v>21.367000000000001</v>
      </c>
      <c r="E466" s="197">
        <v>23.196999999999999</v>
      </c>
      <c r="F466" s="197">
        <v>20.834299999999999</v>
      </c>
      <c r="G466" s="197">
        <v>24.673100000000002</v>
      </c>
      <c r="H466" s="197">
        <v>24.44</v>
      </c>
      <c r="I466" s="197">
        <v>23.49</v>
      </c>
      <c r="J466" s="206" t="s">
        <v>730</v>
      </c>
      <c r="K466" s="206">
        <v>-65</v>
      </c>
      <c r="L466" s="226">
        <v>-60</v>
      </c>
      <c r="M466" s="226">
        <v>0</v>
      </c>
      <c r="N466" s="226">
        <v>0</v>
      </c>
      <c r="O466" s="692"/>
      <c r="P466" s="692"/>
      <c r="Q466" s="197">
        <v>90</v>
      </c>
      <c r="R466" s="197">
        <v>4.0211839999999999</v>
      </c>
      <c r="T466" s="115"/>
      <c r="U466" s="201"/>
      <c r="V466" s="201"/>
      <c r="W466" s="115"/>
      <c r="X466" s="115"/>
      <c r="Y466" s="115"/>
      <c r="Z466" s="163">
        <f>R466-R452</f>
        <v>2.04000000000093E-4</v>
      </c>
    </row>
    <row r="467" spans="1:26" ht="20.45">
      <c r="A467" s="152">
        <v>44981</v>
      </c>
      <c r="B467" s="152"/>
      <c r="C467" s="700" t="s">
        <v>726</v>
      </c>
      <c r="D467" s="197">
        <v>21.367000000000001</v>
      </c>
      <c r="E467" s="197">
        <v>23.196999999999999</v>
      </c>
      <c r="F467" s="197">
        <v>20.834299999999999</v>
      </c>
      <c r="G467" s="197">
        <v>24.673100000000002</v>
      </c>
      <c r="H467" s="197">
        <v>24.632999999999999</v>
      </c>
      <c r="I467" s="197">
        <v>23.23</v>
      </c>
      <c r="J467" s="206" t="s">
        <v>730</v>
      </c>
      <c r="K467" s="206">
        <v>-65</v>
      </c>
      <c r="L467" s="226">
        <v>-60</v>
      </c>
      <c r="M467" s="226">
        <v>0</v>
      </c>
      <c r="N467" s="226">
        <v>0</v>
      </c>
      <c r="O467" s="692"/>
      <c r="P467" s="692"/>
      <c r="Q467" s="197">
        <v>7</v>
      </c>
      <c r="R467" s="197">
        <v>4.7619069999999999</v>
      </c>
      <c r="T467" s="115"/>
      <c r="U467" s="201"/>
      <c r="V467" s="201"/>
      <c r="W467" s="115"/>
      <c r="X467" s="115"/>
      <c r="Y467" s="115"/>
    </row>
    <row r="468" spans="1:26" ht="20.45">
      <c r="A468" s="152">
        <v>44981</v>
      </c>
      <c r="B468" s="152"/>
      <c r="C468" s="700" t="s">
        <v>725</v>
      </c>
      <c r="D468" s="197">
        <v>21.367000000000001</v>
      </c>
      <c r="E468" s="197">
        <v>23.196999999999999</v>
      </c>
      <c r="F468" s="197">
        <v>20.834299999999999</v>
      </c>
      <c r="G468" s="197">
        <v>24.673100000000002</v>
      </c>
      <c r="H468" s="197">
        <v>24.14</v>
      </c>
      <c r="I468" s="197">
        <v>23.77</v>
      </c>
      <c r="J468" s="206" t="s">
        <v>730</v>
      </c>
      <c r="K468" s="206">
        <v>-65</v>
      </c>
      <c r="L468" s="226">
        <v>-60</v>
      </c>
      <c r="M468" s="226">
        <v>0</v>
      </c>
      <c r="N468" s="226">
        <v>0</v>
      </c>
      <c r="O468" s="692"/>
      <c r="P468" s="692"/>
      <c r="Q468" s="197">
        <v>34</v>
      </c>
      <c r="R468" s="197">
        <v>4.0310430000000004</v>
      </c>
      <c r="T468" s="115"/>
      <c r="U468" s="201"/>
      <c r="V468" s="201"/>
      <c r="W468" s="115"/>
      <c r="X468" s="115"/>
      <c r="Y468" s="115"/>
    </row>
    <row r="469" spans="1:26">
      <c r="A469" s="152">
        <v>44981</v>
      </c>
      <c r="B469" s="152"/>
      <c r="C469" s="700" t="s">
        <v>34</v>
      </c>
      <c r="D469" s="197">
        <v>21.367000000000001</v>
      </c>
      <c r="E469" s="197">
        <v>23.196999999999999</v>
      </c>
      <c r="F469" s="197">
        <v>20.834299999999999</v>
      </c>
      <c r="G469" s="197">
        <v>24.673100000000002</v>
      </c>
      <c r="H469" s="197">
        <v>24.14</v>
      </c>
      <c r="I469" s="197">
        <v>23.77</v>
      </c>
      <c r="J469" s="197">
        <v>-76.102599999999995</v>
      </c>
      <c r="K469" s="197">
        <v>-2.5000000000000001E-3</v>
      </c>
      <c r="L469" s="197">
        <v>125.70399999999999</v>
      </c>
      <c r="M469" s="197">
        <v>-9.2999999999999992E-3</v>
      </c>
      <c r="N469" s="197">
        <v>5.0099999999999999E-2</v>
      </c>
      <c r="O469" s="197" t="s">
        <v>68</v>
      </c>
      <c r="P469" s="692"/>
      <c r="Q469" s="692"/>
      <c r="R469" s="692"/>
      <c r="S469" s="301">
        <v>54757</v>
      </c>
      <c r="T469" s="115"/>
      <c r="U469" s="202">
        <v>5.9999999999999995E-4</v>
      </c>
      <c r="V469" s="202">
        <v>1.1000000000000001E-3</v>
      </c>
      <c r="W469" s="115"/>
      <c r="X469" s="115"/>
      <c r="Y469" s="115"/>
    </row>
    <row r="470" spans="1:26">
      <c r="A470" s="152">
        <v>44981</v>
      </c>
      <c r="B470" s="152"/>
      <c r="C470" s="700" t="s">
        <v>744</v>
      </c>
      <c r="D470" s="197">
        <v>21.367000000000001</v>
      </c>
      <c r="E470" s="197">
        <v>23.196999999999999</v>
      </c>
      <c r="F470" s="197">
        <v>20.834299999999999</v>
      </c>
      <c r="G470" s="197">
        <v>24.673100000000002</v>
      </c>
      <c r="H470" s="197">
        <v>24.14</v>
      </c>
      <c r="I470" s="197">
        <v>23.77</v>
      </c>
      <c r="J470" s="197">
        <v>-105.496</v>
      </c>
      <c r="K470" s="197">
        <v>102.7</v>
      </c>
      <c r="L470" s="197">
        <v>6.9999999999999999E-4</v>
      </c>
      <c r="M470" s="197">
        <v>-9.1999999999999998E-3</v>
      </c>
      <c r="N470" s="197">
        <v>5.0099999999999999E-2</v>
      </c>
      <c r="O470" s="692"/>
      <c r="P470" s="692"/>
      <c r="Q470" s="197">
        <v>13</v>
      </c>
      <c r="R470" s="197">
        <v>3.4589889999999999</v>
      </c>
      <c r="T470" s="115"/>
      <c r="U470" s="115"/>
      <c r="V470" s="115"/>
      <c r="W470" s="115"/>
      <c r="X470" s="115"/>
      <c r="Y470" s="115"/>
    </row>
    <row r="471" spans="1:26">
      <c r="A471" s="152">
        <v>44981</v>
      </c>
      <c r="B471" s="152"/>
      <c r="C471" s="700" t="s">
        <v>35</v>
      </c>
      <c r="D471" s="197">
        <v>21.367000000000001</v>
      </c>
      <c r="E471" s="197">
        <v>23.196999999999999</v>
      </c>
      <c r="F471" s="197">
        <v>20.834299999999999</v>
      </c>
      <c r="G471" s="197">
        <v>24.673100000000002</v>
      </c>
      <c r="H471" s="197">
        <v>24.14</v>
      </c>
      <c r="I471" s="197">
        <v>23.77</v>
      </c>
      <c r="J471" s="197">
        <v>-60.429699999999997</v>
      </c>
      <c r="K471" s="197">
        <v>107.399</v>
      </c>
      <c r="L471" s="197">
        <v>-3.0999999999999999E-3</v>
      </c>
      <c r="M471" s="197">
        <v>-9.1999999999999998E-3</v>
      </c>
      <c r="N471" s="197">
        <v>5.0099999999999999E-2</v>
      </c>
      <c r="O471" s="199">
        <v>1135</v>
      </c>
      <c r="P471" s="692"/>
      <c r="Q471" s="692"/>
      <c r="R471" s="692"/>
      <c r="S471" s="301">
        <v>60601</v>
      </c>
      <c r="T471" s="115"/>
      <c r="U471" s="201"/>
      <c r="V471" s="201"/>
      <c r="W471" s="125">
        <v>807.7</v>
      </c>
      <c r="X471" s="125">
        <v>601.70000000000005</v>
      </c>
      <c r="Y471" s="115"/>
    </row>
    <row r="472" spans="1:26" ht="21.6">
      <c r="A472" s="126" t="s">
        <v>0</v>
      </c>
      <c r="B472" s="126"/>
      <c r="C472" s="272" t="s">
        <v>375</v>
      </c>
      <c r="D472" s="750" t="s">
        <v>6</v>
      </c>
      <c r="E472" s="750"/>
      <c r="F472" s="750" t="s">
        <v>7</v>
      </c>
      <c r="G472" s="750"/>
      <c r="H472" s="750" t="s">
        <v>8</v>
      </c>
      <c r="I472" s="750"/>
      <c r="J472" s="696" t="s">
        <v>629</v>
      </c>
      <c r="K472" s="696" t="s">
        <v>630</v>
      </c>
      <c r="L472" s="696" t="s">
        <v>631</v>
      </c>
      <c r="M472" s="696" t="s">
        <v>632</v>
      </c>
      <c r="N472" s="696" t="s">
        <v>633</v>
      </c>
      <c r="O472" s="696" t="s">
        <v>14</v>
      </c>
      <c r="P472" s="696" t="s">
        <v>595</v>
      </c>
      <c r="Q472" s="696" t="s">
        <v>15</v>
      </c>
      <c r="R472" s="696" t="s">
        <v>16</v>
      </c>
      <c r="S472" s="303" t="s">
        <v>17</v>
      </c>
      <c r="T472" s="126" t="s">
        <v>419</v>
      </c>
      <c r="U472" s="203" t="s">
        <v>420</v>
      </c>
      <c r="V472" s="203" t="s">
        <v>421</v>
      </c>
      <c r="W472" s="126" t="s">
        <v>422</v>
      </c>
      <c r="X472" s="126" t="s">
        <v>423</v>
      </c>
      <c r="Y472" s="115"/>
    </row>
    <row r="473" spans="1:26">
      <c r="A473" s="152">
        <v>44982</v>
      </c>
      <c r="B473" s="152"/>
      <c r="C473" s="700" t="s">
        <v>722</v>
      </c>
      <c r="D473" s="197">
        <v>21.367000000000001</v>
      </c>
      <c r="E473" s="197">
        <v>23.196999999999999</v>
      </c>
      <c r="F473" s="197">
        <v>20.834299999999999</v>
      </c>
      <c r="G473" s="197">
        <v>24.673100000000002</v>
      </c>
      <c r="H473" s="197">
        <v>24.63</v>
      </c>
      <c r="I473" s="197">
        <v>23.23</v>
      </c>
      <c r="J473" s="206" t="s">
        <v>730</v>
      </c>
      <c r="K473" s="206">
        <v>-65.001000000000005</v>
      </c>
      <c r="L473" s="226">
        <v>-60.003999999999998</v>
      </c>
      <c r="M473" s="226">
        <v>-4.0000000000000002E-4</v>
      </c>
      <c r="N473" s="226">
        <v>-2.9999999999999997E-4</v>
      </c>
      <c r="O473" s="692"/>
      <c r="P473" s="692"/>
      <c r="Q473" s="197">
        <v>6</v>
      </c>
      <c r="R473" s="197">
        <v>4.7618809999999998</v>
      </c>
      <c r="T473" s="115"/>
      <c r="U473" s="201"/>
      <c r="V473" s="201"/>
      <c r="W473" s="115"/>
      <c r="X473" s="115"/>
      <c r="Y473" s="115"/>
    </row>
    <row r="474" spans="1:26" ht="30.6">
      <c r="A474" s="152">
        <v>44982</v>
      </c>
      <c r="B474" s="152"/>
      <c r="C474" s="700" t="s">
        <v>745</v>
      </c>
      <c r="D474" s="197">
        <v>21.367000000000001</v>
      </c>
      <c r="E474" s="197">
        <v>23.196999999999999</v>
      </c>
      <c r="F474" s="197">
        <v>20.834299999999999</v>
      </c>
      <c r="G474" s="197">
        <v>24.673100000000002</v>
      </c>
      <c r="H474" s="197">
        <v>24.14</v>
      </c>
      <c r="I474" s="197">
        <v>23.77</v>
      </c>
      <c r="J474" s="206" t="s">
        <v>730</v>
      </c>
      <c r="K474" s="206">
        <v>-65.001000000000005</v>
      </c>
      <c r="L474" s="226">
        <v>-60.003999999999998</v>
      </c>
      <c r="M474" s="226">
        <v>-4.0000000000000002E-4</v>
      </c>
      <c r="N474" s="226">
        <v>-2.9999999999999997E-4</v>
      </c>
      <c r="O474" s="692"/>
      <c r="P474" s="692"/>
      <c r="Q474" s="197">
        <v>32</v>
      </c>
      <c r="R474" s="197">
        <v>4.031002</v>
      </c>
      <c r="T474" s="115"/>
      <c r="U474" s="201"/>
      <c r="V474" s="201"/>
      <c r="W474" s="115"/>
      <c r="X474" s="115"/>
      <c r="Y474" s="115"/>
      <c r="Z474" s="163">
        <f>R474-R468</f>
        <v>-4.1000000000401826E-5</v>
      </c>
    </row>
    <row r="475" spans="1:26">
      <c r="A475" s="152">
        <v>44982</v>
      </c>
      <c r="B475" s="152"/>
      <c r="C475" s="700" t="s">
        <v>746</v>
      </c>
      <c r="D475" s="197">
        <v>21.367000000000001</v>
      </c>
      <c r="E475" s="197">
        <v>23.196999999999999</v>
      </c>
      <c r="F475" s="197">
        <v>20.834299999999999</v>
      </c>
      <c r="G475" s="197">
        <v>24.673100000000002</v>
      </c>
      <c r="H475" s="197">
        <v>24.14</v>
      </c>
      <c r="I475" s="197">
        <v>23.77</v>
      </c>
      <c r="J475" s="206" t="s">
        <v>730</v>
      </c>
      <c r="K475" s="206">
        <v>-65.001000000000005</v>
      </c>
      <c r="L475" s="226">
        <v>-60.003999999999998</v>
      </c>
      <c r="M475" s="226">
        <v>-4.0000000000000002E-4</v>
      </c>
      <c r="N475" s="226">
        <v>-2.9999999999999997E-4</v>
      </c>
      <c r="O475" s="199"/>
      <c r="P475" s="692"/>
      <c r="Q475" s="692"/>
      <c r="R475" s="692"/>
      <c r="S475" s="301"/>
      <c r="T475" s="115"/>
      <c r="U475" s="202">
        <v>-1.5E-3</v>
      </c>
      <c r="V475" s="202">
        <v>8.3999999999999995E-3</v>
      </c>
      <c r="W475" s="115">
        <v>809.5</v>
      </c>
      <c r="X475" s="115">
        <v>602.6</v>
      </c>
      <c r="Y475" s="115"/>
    </row>
    <row r="476" spans="1:26" ht="20.45">
      <c r="A476" s="152">
        <v>44982</v>
      </c>
      <c r="B476" s="152"/>
      <c r="C476" s="700" t="s">
        <v>723</v>
      </c>
      <c r="D476" s="197">
        <v>21.391500000000001</v>
      </c>
      <c r="E476" s="197">
        <v>23.238499999999998</v>
      </c>
      <c r="F476" s="197">
        <v>20.886299999999999</v>
      </c>
      <c r="G476" s="197">
        <v>24.686599999999999</v>
      </c>
      <c r="H476" s="197">
        <v>24.14</v>
      </c>
      <c r="I476" s="197">
        <v>23.77</v>
      </c>
      <c r="J476" s="206" t="s">
        <v>730</v>
      </c>
      <c r="K476" s="206">
        <v>-65.001000000000005</v>
      </c>
      <c r="L476" s="226">
        <v>-60.003999999999998</v>
      </c>
      <c r="M476" s="226">
        <v>-4.0000000000000002E-4</v>
      </c>
      <c r="N476" s="226">
        <v>-2.9999999999999997E-4</v>
      </c>
      <c r="O476" s="199" t="s">
        <v>549</v>
      </c>
      <c r="P476" s="692"/>
      <c r="Q476" s="692"/>
      <c r="R476" s="692"/>
      <c r="S476" s="301">
        <v>12159</v>
      </c>
      <c r="T476" s="115"/>
      <c r="U476" s="228">
        <v>-2.8E-3</v>
      </c>
      <c r="V476" s="228">
        <v>3.2000000000000002E-3</v>
      </c>
      <c r="W476" s="115"/>
      <c r="X476" s="115"/>
      <c r="Y476" s="115"/>
    </row>
    <row r="477" spans="1:26" ht="20.45">
      <c r="A477" s="152">
        <v>44982</v>
      </c>
      <c r="B477" s="152"/>
      <c r="C477" s="700" t="s">
        <v>724</v>
      </c>
      <c r="D477" s="197">
        <v>21.391500000000001</v>
      </c>
      <c r="E477" s="197">
        <v>23.238499999999998</v>
      </c>
      <c r="F477" s="197">
        <v>20.886299999999999</v>
      </c>
      <c r="G477" s="197">
        <v>24.686599999999999</v>
      </c>
      <c r="H477" s="197">
        <v>24.14</v>
      </c>
      <c r="I477" s="197">
        <v>23.77</v>
      </c>
      <c r="J477" s="206" t="s">
        <v>730</v>
      </c>
      <c r="K477" s="206">
        <v>-65.001000000000005</v>
      </c>
      <c r="L477" s="226">
        <v>-60.003999999999998</v>
      </c>
      <c r="M477" s="226">
        <v>-4.0000000000000002E-4</v>
      </c>
      <c r="N477" s="226">
        <v>-2.9999999999999997E-4</v>
      </c>
      <c r="O477" s="199" t="s">
        <v>553</v>
      </c>
      <c r="P477" s="692"/>
      <c r="Q477" s="692"/>
      <c r="R477" s="208"/>
      <c r="S477" s="301">
        <v>11153</v>
      </c>
      <c r="T477" s="115"/>
      <c r="U477" s="201"/>
      <c r="V477" s="201"/>
      <c r="W477" s="228">
        <v>807.5</v>
      </c>
      <c r="X477" s="228">
        <v>601.6</v>
      </c>
      <c r="Y477" s="115"/>
    </row>
    <row r="478" spans="1:26" ht="30.6">
      <c r="A478" s="152">
        <v>44982</v>
      </c>
      <c r="B478" s="152"/>
      <c r="C478" s="277" t="s">
        <v>747</v>
      </c>
      <c r="D478" s="197">
        <v>21.391500000000001</v>
      </c>
      <c r="E478" s="197">
        <v>23.238499999999998</v>
      </c>
      <c r="F478" s="197">
        <v>20.886299999999999</v>
      </c>
      <c r="G478" s="197">
        <v>24.686599999999999</v>
      </c>
      <c r="H478" s="197">
        <v>24.442</v>
      </c>
      <c r="I478" s="197">
        <v>23.49</v>
      </c>
      <c r="J478" s="206" t="s">
        <v>730</v>
      </c>
      <c r="K478" s="206">
        <v>-65.001000000000005</v>
      </c>
      <c r="L478" s="226">
        <v>-60.003999999999998</v>
      </c>
      <c r="M478" s="226">
        <v>-4.0000000000000002E-4</v>
      </c>
      <c r="N478" s="226">
        <v>-2.9999999999999997E-4</v>
      </c>
      <c r="O478" s="692"/>
      <c r="P478" s="692"/>
      <c r="Q478" s="197">
        <v>22</v>
      </c>
      <c r="R478" s="197">
        <v>4.0229910000000002</v>
      </c>
      <c r="T478" s="115"/>
      <c r="U478" s="201"/>
      <c r="V478" s="201"/>
      <c r="W478" s="115"/>
      <c r="X478" s="115"/>
      <c r="Y478" s="115"/>
    </row>
    <row r="479" spans="1:26" ht="20.45">
      <c r="A479" s="152">
        <v>44982</v>
      </c>
      <c r="B479" s="152"/>
      <c r="C479" s="700" t="s">
        <v>726</v>
      </c>
      <c r="D479" s="197">
        <v>21.391500000000001</v>
      </c>
      <c r="E479" s="197">
        <v>23.238499999999998</v>
      </c>
      <c r="F479" s="197">
        <v>20.886299999999999</v>
      </c>
      <c r="G479" s="197">
        <v>24.686599999999999</v>
      </c>
      <c r="H479" s="197">
        <v>24.63</v>
      </c>
      <c r="I479" s="197">
        <v>23.23</v>
      </c>
      <c r="J479" s="206"/>
      <c r="K479" s="206"/>
      <c r="L479" s="226"/>
      <c r="M479" s="226"/>
      <c r="N479" s="226"/>
      <c r="O479" s="692"/>
      <c r="P479" s="692"/>
      <c r="Q479" s="197">
        <v>6</v>
      </c>
      <c r="R479" s="197">
        <v>4.7619170000000004</v>
      </c>
      <c r="T479" s="115"/>
      <c r="U479" s="201"/>
      <c r="V479" s="201"/>
      <c r="W479" s="115"/>
      <c r="X479" s="115"/>
      <c r="Y479" s="115"/>
      <c r="Z479" s="163">
        <f>R479-R473</f>
        <v>3.6000000000591115E-5</v>
      </c>
    </row>
    <row r="480" spans="1:26" ht="20.45">
      <c r="A480" s="152">
        <v>44982</v>
      </c>
      <c r="B480" s="152"/>
      <c r="C480" s="700" t="s">
        <v>725</v>
      </c>
      <c r="D480" s="197">
        <v>21.391500000000001</v>
      </c>
      <c r="E480" s="197">
        <v>23.238499999999998</v>
      </c>
      <c r="F480" s="197">
        <v>20.886299999999999</v>
      </c>
      <c r="G480" s="197">
        <v>24.686599999999999</v>
      </c>
      <c r="H480" s="197">
        <v>24.14</v>
      </c>
      <c r="I480" s="197">
        <v>23.77</v>
      </c>
      <c r="J480" s="206"/>
      <c r="K480" s="206"/>
      <c r="L480" s="226"/>
      <c r="M480" s="226"/>
      <c r="N480" s="226"/>
      <c r="O480" s="692"/>
      <c r="P480" s="692"/>
      <c r="Q480" s="197"/>
      <c r="R480" s="197">
        <v>4.0310540000000001</v>
      </c>
      <c r="T480" s="115"/>
      <c r="U480" s="201"/>
      <c r="V480" s="201"/>
      <c r="W480" s="115"/>
      <c r="X480" s="115"/>
      <c r="Y480" s="115"/>
    </row>
    <row r="481" spans="1:26" ht="30.6">
      <c r="A481" s="152">
        <v>44982</v>
      </c>
      <c r="B481" s="152"/>
      <c r="C481" s="277" t="s">
        <v>747</v>
      </c>
      <c r="D481" s="197">
        <v>21.391500000000001</v>
      </c>
      <c r="E481" s="197">
        <v>23.238499999999998</v>
      </c>
      <c r="F481" s="197">
        <v>20.886299999999999</v>
      </c>
      <c r="G481" s="197">
        <v>24.686599999999999</v>
      </c>
      <c r="H481" s="197">
        <v>24.442</v>
      </c>
      <c r="I481" s="197">
        <v>23.49</v>
      </c>
      <c r="J481" s="206" t="s">
        <v>730</v>
      </c>
      <c r="K481" s="206">
        <v>-65.001000000000005</v>
      </c>
      <c r="L481" s="226">
        <v>-60.003999999999998</v>
      </c>
      <c r="M481" s="226">
        <v>-4.0000000000000002E-4</v>
      </c>
      <c r="N481" s="226">
        <v>-2.9999999999999997E-4</v>
      </c>
      <c r="O481" s="692"/>
      <c r="P481" s="692"/>
      <c r="Q481" s="197">
        <v>43</v>
      </c>
      <c r="R481" s="197">
        <v>4.0224019999999996</v>
      </c>
      <c r="T481" s="115"/>
      <c r="U481" s="201"/>
      <c r="V481" s="201"/>
      <c r="W481" s="115"/>
      <c r="X481" s="115"/>
      <c r="Y481" s="115"/>
      <c r="Z481" s="163">
        <f>R481-R478</f>
        <v>-5.8900000000061681E-4</v>
      </c>
    </row>
    <row r="482" spans="1:26">
      <c r="A482" s="152">
        <v>44982</v>
      </c>
      <c r="B482" s="152"/>
      <c r="C482" s="700" t="s">
        <v>31</v>
      </c>
      <c r="D482" s="197">
        <v>21.391500000000001</v>
      </c>
      <c r="E482" s="197">
        <v>23.238499999999998</v>
      </c>
      <c r="F482" s="197">
        <v>20.886299999999999</v>
      </c>
      <c r="G482" s="197">
        <v>24.686599999999999</v>
      </c>
      <c r="H482" s="197">
        <v>24.442</v>
      </c>
      <c r="I482" s="197">
        <v>23.49</v>
      </c>
      <c r="J482" s="197">
        <v>101.504</v>
      </c>
      <c r="K482" s="197">
        <v>125.712</v>
      </c>
      <c r="L482" s="197">
        <v>0</v>
      </c>
      <c r="M482" s="197">
        <v>1.32E-2</v>
      </c>
      <c r="N482" s="197">
        <v>6.2100000000000002E-2</v>
      </c>
      <c r="O482" s="197" t="s">
        <v>549</v>
      </c>
      <c r="P482" s="692"/>
      <c r="Q482" s="692"/>
      <c r="R482" s="692"/>
      <c r="S482" s="301">
        <v>25329</v>
      </c>
      <c r="T482" s="115"/>
      <c r="U482" s="228">
        <v>-2.5000000000000001E-3</v>
      </c>
      <c r="V482" s="228">
        <v>3.5000000000000001E-3</v>
      </c>
      <c r="W482" s="115"/>
      <c r="X482" s="115"/>
      <c r="Y482" s="115"/>
    </row>
    <row r="483" spans="1:26" ht="30.6">
      <c r="A483" s="152">
        <v>44982</v>
      </c>
      <c r="B483" s="152"/>
      <c r="C483" s="700" t="s">
        <v>748</v>
      </c>
      <c r="D483" s="197">
        <v>21.391500000000001</v>
      </c>
      <c r="E483" s="197">
        <v>23.238499999999998</v>
      </c>
      <c r="F483" s="197">
        <v>20.886299999999999</v>
      </c>
      <c r="G483" s="197">
        <v>24.686599999999999</v>
      </c>
      <c r="H483" s="197">
        <v>24.442</v>
      </c>
      <c r="I483" s="197">
        <v>23.49</v>
      </c>
      <c r="J483" s="229">
        <v>101.504</v>
      </c>
      <c r="K483" s="229">
        <v>125.712</v>
      </c>
      <c r="L483" s="197">
        <v>0</v>
      </c>
      <c r="M483" s="197">
        <v>1.32E-2</v>
      </c>
      <c r="N483" s="197">
        <v>6.2100000000000002E-2</v>
      </c>
      <c r="O483" s="197" t="s">
        <v>549</v>
      </c>
      <c r="P483" s="692"/>
      <c r="Q483" s="229">
        <v>138</v>
      </c>
      <c r="R483" s="229">
        <v>3.4737459999999998</v>
      </c>
      <c r="T483" s="115"/>
      <c r="U483" s="228"/>
      <c r="V483" s="228"/>
      <c r="W483" s="115"/>
      <c r="X483" s="115"/>
      <c r="Y483" s="115"/>
    </row>
    <row r="484" spans="1:26">
      <c r="A484" s="152">
        <v>44982</v>
      </c>
      <c r="B484" s="152"/>
      <c r="C484" s="700" t="s">
        <v>32</v>
      </c>
      <c r="D484" s="197">
        <v>21.391500000000001</v>
      </c>
      <c r="E484" s="197">
        <v>23.238499999999998</v>
      </c>
      <c r="F484" s="197">
        <v>20.886299999999999</v>
      </c>
      <c r="G484" s="197">
        <v>24.686599999999999</v>
      </c>
      <c r="H484" s="197">
        <v>24.442</v>
      </c>
      <c r="I484" s="197">
        <v>23.49</v>
      </c>
      <c r="J484" s="229">
        <v>88.472899999999996</v>
      </c>
      <c r="K484" s="229">
        <v>107.43600000000001</v>
      </c>
      <c r="L484" s="197">
        <v>0</v>
      </c>
      <c r="M484" s="197">
        <v>1.3270000000000001E-2</v>
      </c>
      <c r="N484" s="197">
        <v>6.2199999999999998E-2</v>
      </c>
      <c r="O484" s="199">
        <v>1135</v>
      </c>
      <c r="P484" s="692"/>
      <c r="Q484" s="692"/>
      <c r="R484" s="692"/>
      <c r="S484" s="301"/>
      <c r="T484" s="115"/>
      <c r="U484" s="201"/>
      <c r="V484" s="201"/>
      <c r="W484" s="228">
        <v>806.9</v>
      </c>
      <c r="X484" s="228">
        <v>601.79999999999995</v>
      </c>
      <c r="Y484" s="115"/>
    </row>
    <row r="485" spans="1:26">
      <c r="A485" s="152">
        <v>44982</v>
      </c>
      <c r="B485" s="152"/>
      <c r="C485" s="700" t="s">
        <v>32</v>
      </c>
      <c r="D485" s="197">
        <v>21.391500000000001</v>
      </c>
      <c r="E485" s="197">
        <v>23.238499999999998</v>
      </c>
      <c r="F485" s="197">
        <v>20.886299999999999</v>
      </c>
      <c r="G485" s="197">
        <v>24.686599999999999</v>
      </c>
      <c r="H485" s="197">
        <v>24.442</v>
      </c>
      <c r="I485" s="197">
        <v>23.49</v>
      </c>
      <c r="J485" s="229">
        <v>97.468000000000004</v>
      </c>
      <c r="K485" s="229">
        <v>107.43600000000001</v>
      </c>
      <c r="L485" s="197">
        <v>0</v>
      </c>
      <c r="M485" s="197">
        <v>1.3270000000000001E-2</v>
      </c>
      <c r="N485" s="197">
        <v>6.2199999999999998E-2</v>
      </c>
      <c r="O485" s="199">
        <v>1135</v>
      </c>
      <c r="P485" s="692"/>
      <c r="Q485" s="197"/>
      <c r="R485" s="197"/>
      <c r="T485" s="115"/>
      <c r="U485" s="115"/>
      <c r="V485" s="115"/>
      <c r="W485" s="230">
        <v>964.4</v>
      </c>
      <c r="X485" s="230">
        <v>497.6</v>
      </c>
      <c r="Y485" s="115"/>
    </row>
    <row r="486" spans="1:26">
      <c r="A486" s="152">
        <v>44982</v>
      </c>
      <c r="B486" s="152"/>
      <c r="C486" s="700" t="s">
        <v>32</v>
      </c>
      <c r="D486" s="197">
        <v>21.391500000000001</v>
      </c>
      <c r="E486" s="197">
        <v>23.238499999999998</v>
      </c>
      <c r="F486" s="197">
        <v>20.886299999999999</v>
      </c>
      <c r="G486" s="197">
        <v>24.686599999999999</v>
      </c>
      <c r="H486" s="197">
        <v>24.442</v>
      </c>
      <c r="I486" s="197">
        <v>23.49</v>
      </c>
      <c r="J486" s="229">
        <v>79.481899999999996</v>
      </c>
      <c r="K486" s="229">
        <v>107.43600000000001</v>
      </c>
      <c r="L486" s="197">
        <v>0</v>
      </c>
      <c r="M486" s="197">
        <v>1.3270000000000001E-2</v>
      </c>
      <c r="N486" s="197">
        <v>6.2199999999999998E-2</v>
      </c>
      <c r="O486" s="199">
        <v>1135</v>
      </c>
      <c r="P486" s="692"/>
      <c r="Q486" s="692"/>
      <c r="R486" s="692"/>
      <c r="T486" s="115"/>
      <c r="U486" s="115"/>
      <c r="V486" s="115"/>
      <c r="W486" s="230">
        <v>649.9</v>
      </c>
      <c r="X486" s="230">
        <v>705.9</v>
      </c>
      <c r="Y486" s="115"/>
    </row>
    <row r="487" spans="1:26">
      <c r="A487" s="152">
        <v>44982</v>
      </c>
      <c r="B487" s="152"/>
      <c r="C487" s="700" t="s">
        <v>32</v>
      </c>
      <c r="D487" s="197">
        <v>21.391500000000001</v>
      </c>
      <c r="E487" s="197">
        <v>23.238499999999998</v>
      </c>
      <c r="F487" s="197">
        <v>20.886299999999999</v>
      </c>
      <c r="G487" s="197">
        <v>24.686599999999999</v>
      </c>
      <c r="H487" s="197">
        <v>24.442</v>
      </c>
      <c r="I487" s="197">
        <v>23.49</v>
      </c>
      <c r="J487" s="229">
        <v>79.482100000000003</v>
      </c>
      <c r="K487" s="229">
        <v>116.43600000000001</v>
      </c>
      <c r="L487" s="197">
        <v>0</v>
      </c>
      <c r="M487" s="197">
        <v>1.3270000000000001E-2</v>
      </c>
      <c r="N487" s="197">
        <v>6.2199999999999998E-2</v>
      </c>
      <c r="O487" s="199">
        <v>1135</v>
      </c>
      <c r="P487" s="692"/>
      <c r="Q487" s="692"/>
      <c r="R487" s="692"/>
      <c r="T487" s="115"/>
      <c r="U487" s="115"/>
      <c r="V487" s="115"/>
      <c r="W487" s="230">
        <v>546.6</v>
      </c>
      <c r="X487" s="230">
        <v>551.4</v>
      </c>
      <c r="Y487" s="115"/>
    </row>
    <row r="488" spans="1:26">
      <c r="A488" s="152">
        <v>44982</v>
      </c>
      <c r="B488" s="152"/>
      <c r="C488" s="700" t="s">
        <v>32</v>
      </c>
      <c r="D488" s="197">
        <v>21.391500000000001</v>
      </c>
      <c r="E488" s="197">
        <v>23.238499999999998</v>
      </c>
      <c r="F488" s="197">
        <v>20.886299999999999</v>
      </c>
      <c r="G488" s="197">
        <v>24.686599999999999</v>
      </c>
      <c r="H488" s="197">
        <v>24.442</v>
      </c>
      <c r="I488" s="197">
        <v>23.49</v>
      </c>
      <c r="J488" s="229">
        <v>79.482100000000003</v>
      </c>
      <c r="K488" s="229">
        <v>98.436000000000007</v>
      </c>
      <c r="L488" s="197">
        <v>0</v>
      </c>
      <c r="M488" s="197">
        <v>1.3270000000000001E-2</v>
      </c>
      <c r="N488" s="197">
        <v>6.2199999999999998E-2</v>
      </c>
      <c r="O488" s="199">
        <v>1135</v>
      </c>
      <c r="P488" s="692"/>
      <c r="Q488" s="692"/>
      <c r="R488" s="692"/>
      <c r="T488" s="115"/>
      <c r="U488" s="115"/>
      <c r="V488" s="115"/>
      <c r="W488" s="230">
        <v>751.97</v>
      </c>
      <c r="X488" s="230">
        <v>860.48099999999999</v>
      </c>
      <c r="Y488" s="115"/>
    </row>
    <row r="489" spans="1:26">
      <c r="A489" s="152">
        <v>44982</v>
      </c>
      <c r="B489" s="152"/>
      <c r="C489" s="700" t="s">
        <v>32</v>
      </c>
      <c r="D489" s="197">
        <v>21.391500000000001</v>
      </c>
      <c r="E489" s="197">
        <v>23.238499999999998</v>
      </c>
      <c r="F489" s="197">
        <v>20.886299999999999</v>
      </c>
      <c r="G489" s="197">
        <v>24.686599999999999</v>
      </c>
      <c r="H489" s="197">
        <v>24.442</v>
      </c>
      <c r="I489" s="197">
        <v>23.49</v>
      </c>
      <c r="J489" s="229">
        <v>88.468000000000004</v>
      </c>
      <c r="K489" s="229">
        <v>98.435000000000002</v>
      </c>
      <c r="L489" s="197">
        <v>0</v>
      </c>
      <c r="M489" s="197">
        <v>1.3270000000000001E-2</v>
      </c>
      <c r="N489" s="197">
        <v>6.2199999999999998E-2</v>
      </c>
      <c r="O489" s="199">
        <v>1135</v>
      </c>
      <c r="P489" s="692"/>
      <c r="Q489" s="692"/>
      <c r="R489" s="692"/>
      <c r="T489" s="115"/>
      <c r="U489" s="115"/>
      <c r="V489" s="115"/>
      <c r="W489" s="230">
        <v>909.1</v>
      </c>
      <c r="X489" s="230">
        <v>755.8</v>
      </c>
      <c r="Y489" s="115"/>
    </row>
    <row r="490" spans="1:26">
      <c r="A490" s="152">
        <v>44982</v>
      </c>
      <c r="B490" s="152"/>
      <c r="C490" s="700" t="s">
        <v>32</v>
      </c>
      <c r="D490" s="197">
        <v>21.391500000000001</v>
      </c>
      <c r="E490" s="197">
        <v>23.238499999999998</v>
      </c>
      <c r="F490" s="197">
        <v>20.886299999999999</v>
      </c>
      <c r="G490" s="197">
        <v>24.686599999999999</v>
      </c>
      <c r="H490" s="197">
        <v>24.442</v>
      </c>
      <c r="I490" s="197">
        <v>23.49</v>
      </c>
      <c r="J490" s="229">
        <v>88.468999999999994</v>
      </c>
      <c r="K490" s="229">
        <v>116.43600000000001</v>
      </c>
      <c r="L490" s="197">
        <v>0</v>
      </c>
      <c r="M490" s="197">
        <v>1.3270000000000001E-2</v>
      </c>
      <c r="N490" s="197">
        <v>6.2199999999999998E-2</v>
      </c>
      <c r="O490" s="199">
        <v>1135</v>
      </c>
      <c r="P490" s="692"/>
      <c r="Q490" s="692"/>
      <c r="R490" s="692"/>
      <c r="T490" s="115"/>
      <c r="U490" s="115"/>
      <c r="V490" s="115"/>
      <c r="W490" s="230">
        <v>704.8</v>
      </c>
      <c r="X490" s="230">
        <v>447.4</v>
      </c>
      <c r="Y490" s="115"/>
    </row>
    <row r="491" spans="1:26" ht="20.45">
      <c r="A491" s="152">
        <v>44982</v>
      </c>
      <c r="B491" s="152"/>
      <c r="C491" s="700" t="s">
        <v>749</v>
      </c>
      <c r="D491" s="197">
        <v>21.391500000000001</v>
      </c>
      <c r="E491" s="197">
        <v>23.238499999999998</v>
      </c>
      <c r="F491" s="197">
        <v>20.886299999999999</v>
      </c>
      <c r="G491" s="197">
        <v>24.686599999999999</v>
      </c>
      <c r="H491" s="197"/>
      <c r="I491" s="197"/>
      <c r="J491" s="229">
        <v>102.48</v>
      </c>
      <c r="K491" s="229">
        <v>101.35</v>
      </c>
      <c r="L491" s="197">
        <v>0</v>
      </c>
      <c r="M491" s="197">
        <v>1.3270000000000001E-2</v>
      </c>
      <c r="N491" s="197">
        <v>6.2199999999999998E-2</v>
      </c>
      <c r="O491" s="231">
        <v>1142</v>
      </c>
      <c r="P491" s="692"/>
      <c r="Q491" s="692"/>
      <c r="R491" s="692"/>
      <c r="S491" s="306">
        <v>41640</v>
      </c>
      <c r="T491" s="115"/>
      <c r="U491" s="115"/>
      <c r="V491" s="115"/>
      <c r="W491" s="230">
        <v>822</v>
      </c>
      <c r="X491" s="230">
        <v>549</v>
      </c>
      <c r="Y491" s="115"/>
    </row>
    <row r="492" spans="1:26" ht="20.45">
      <c r="A492" s="152">
        <v>44982</v>
      </c>
      <c r="B492" s="152"/>
      <c r="C492" s="700" t="s">
        <v>750</v>
      </c>
      <c r="D492" s="197">
        <v>21.391500000000001</v>
      </c>
      <c r="E492" s="197">
        <v>23.238499999999998</v>
      </c>
      <c r="F492" s="197">
        <v>20.886299999999999</v>
      </c>
      <c r="G492" s="197">
        <v>24.686599999999999</v>
      </c>
      <c r="H492" s="197">
        <v>24.442</v>
      </c>
      <c r="I492" s="197">
        <v>23.49</v>
      </c>
      <c r="J492" s="229">
        <v>66.693600000000004</v>
      </c>
      <c r="K492" s="229">
        <v>102.398</v>
      </c>
      <c r="L492" s="197">
        <v>0</v>
      </c>
      <c r="M492" s="197">
        <v>1.3270000000000001E-2</v>
      </c>
      <c r="N492" s="229">
        <v>6.2199999999999998E-2</v>
      </c>
      <c r="O492" s="231">
        <v>1123</v>
      </c>
      <c r="P492" s="692"/>
      <c r="Q492" s="692"/>
      <c r="R492" s="229">
        <v>3.4589219999999998</v>
      </c>
      <c r="S492" s="291">
        <v>43748</v>
      </c>
      <c r="T492" s="115"/>
      <c r="U492" s="115"/>
      <c r="V492" s="115"/>
      <c r="W492" s="115">
        <v>177</v>
      </c>
      <c r="X492" s="115">
        <v>942</v>
      </c>
      <c r="Y492" s="115"/>
    </row>
    <row r="493" spans="1:26">
      <c r="A493" s="152">
        <v>44982</v>
      </c>
      <c r="B493" s="152"/>
      <c r="C493" s="700" t="s">
        <v>751</v>
      </c>
      <c r="D493" s="197">
        <v>21.391500000000001</v>
      </c>
      <c r="E493" s="197">
        <v>23.238499999999998</v>
      </c>
      <c r="F493" s="197">
        <v>20.886299999999999</v>
      </c>
      <c r="G493" s="197">
        <v>24.686599999999999</v>
      </c>
      <c r="H493" s="197">
        <v>24.442</v>
      </c>
      <c r="I493" s="197">
        <v>23.49</v>
      </c>
      <c r="J493" s="229">
        <v>66.693600000000004</v>
      </c>
      <c r="K493" s="229">
        <v>102.398</v>
      </c>
      <c r="L493" s="197">
        <v>0</v>
      </c>
      <c r="M493" s="197">
        <v>1.3270000000000001E-2</v>
      </c>
      <c r="N493" s="229">
        <v>6.2199999999999998E-2</v>
      </c>
      <c r="O493" s="231">
        <v>1123</v>
      </c>
      <c r="P493" s="692"/>
      <c r="Q493" s="692"/>
      <c r="R493" s="692">
        <v>3.4589219999999998</v>
      </c>
      <c r="S493" s="291">
        <v>44126</v>
      </c>
      <c r="T493" s="115"/>
      <c r="U493" s="115"/>
      <c r="V493" s="115"/>
      <c r="W493" s="115"/>
      <c r="X493" s="115"/>
      <c r="Y493" s="115"/>
    </row>
    <row r="494" spans="1:26">
      <c r="A494" s="115"/>
      <c r="B494" s="115"/>
      <c r="C494" s="700"/>
      <c r="D494" s="692"/>
      <c r="E494" s="692"/>
      <c r="F494" s="692"/>
      <c r="G494" s="692"/>
      <c r="H494" s="692"/>
      <c r="I494" s="692"/>
      <c r="J494" s="692"/>
      <c r="K494" s="692"/>
      <c r="L494" s="692"/>
      <c r="M494" s="692"/>
      <c r="N494" s="692"/>
      <c r="O494" s="692"/>
      <c r="P494" s="692"/>
      <c r="Q494" s="692"/>
      <c r="R494" s="692"/>
      <c r="T494" s="115"/>
      <c r="U494" s="115"/>
      <c r="V494" s="115"/>
      <c r="W494" s="115"/>
      <c r="X494" s="115"/>
      <c r="Y494" s="115"/>
    </row>
    <row r="495" spans="1:26" ht="21.6">
      <c r="A495" s="126" t="s">
        <v>0</v>
      </c>
      <c r="B495" s="126"/>
      <c r="C495" s="272" t="s">
        <v>375</v>
      </c>
      <c r="D495" s="750" t="s">
        <v>6</v>
      </c>
      <c r="E495" s="750"/>
      <c r="F495" s="750" t="s">
        <v>7</v>
      </c>
      <c r="G495" s="750"/>
      <c r="H495" s="750" t="s">
        <v>8</v>
      </c>
      <c r="I495" s="750"/>
      <c r="J495" s="696" t="s">
        <v>629</v>
      </c>
      <c r="K495" s="696" t="s">
        <v>630</v>
      </c>
      <c r="L495" s="696" t="s">
        <v>631</v>
      </c>
      <c r="M495" s="696" t="s">
        <v>632</v>
      </c>
      <c r="N495" s="696" t="s">
        <v>633</v>
      </c>
      <c r="O495" s="696" t="s">
        <v>14</v>
      </c>
      <c r="P495" s="696" t="s">
        <v>595</v>
      </c>
      <c r="Q495" s="696" t="s">
        <v>15</v>
      </c>
      <c r="R495" s="696" t="s">
        <v>16</v>
      </c>
      <c r="S495" s="303" t="s">
        <v>17</v>
      </c>
      <c r="T495" s="126" t="s">
        <v>419</v>
      </c>
      <c r="U495" s="203" t="s">
        <v>420</v>
      </c>
      <c r="V495" s="203" t="s">
        <v>421</v>
      </c>
      <c r="W495" s="126" t="s">
        <v>422</v>
      </c>
      <c r="X495" s="126" t="s">
        <v>423</v>
      </c>
      <c r="Y495" s="115"/>
    </row>
    <row r="496" spans="1:26">
      <c r="A496" s="152">
        <v>44984</v>
      </c>
      <c r="B496" s="152"/>
      <c r="C496" s="700" t="s">
        <v>722</v>
      </c>
      <c r="D496" s="197">
        <v>21.391500000000001</v>
      </c>
      <c r="E496" s="197">
        <v>23.238499999999998</v>
      </c>
      <c r="F496" s="197">
        <v>20.886299999999999</v>
      </c>
      <c r="G496" s="197">
        <v>24.686599999999999</v>
      </c>
      <c r="H496" s="197">
        <v>24.64</v>
      </c>
      <c r="I496" s="197">
        <v>23.24</v>
      </c>
      <c r="J496" s="206" t="s">
        <v>730</v>
      </c>
      <c r="K496" s="206">
        <v>-65.001000000000005</v>
      </c>
      <c r="L496" s="226">
        <v>-60.003999999999998</v>
      </c>
      <c r="M496" s="226">
        <v>-4.0000000000000002E-4</v>
      </c>
      <c r="N496" s="226">
        <v>-2.9999999999999997E-4</v>
      </c>
      <c r="O496" s="692"/>
      <c r="P496" s="692"/>
      <c r="Q496" s="197">
        <v>7</v>
      </c>
      <c r="R496" s="197">
        <v>4.7618799999999997</v>
      </c>
      <c r="T496" s="115"/>
      <c r="U496" s="201"/>
      <c r="V496" s="201"/>
      <c r="W496" s="115"/>
      <c r="X496" s="115"/>
      <c r="Y496" s="115"/>
    </row>
    <row r="497" spans="1:25">
      <c r="A497" s="152">
        <v>44984</v>
      </c>
      <c r="B497" s="152"/>
      <c r="C497" s="700" t="s">
        <v>27</v>
      </c>
      <c r="D497" s="197">
        <v>21.391500000000001</v>
      </c>
      <c r="E497" s="197">
        <v>23.238499999999998</v>
      </c>
      <c r="F497" s="197">
        <v>20.886299999999999</v>
      </c>
      <c r="G497" s="197">
        <v>24.686599999999999</v>
      </c>
      <c r="H497" s="197">
        <v>24.14</v>
      </c>
      <c r="I497" s="197">
        <v>23.77</v>
      </c>
      <c r="J497" s="206" t="s">
        <v>730</v>
      </c>
      <c r="K497" s="206">
        <v>-65</v>
      </c>
      <c r="L497" s="226">
        <v>-60</v>
      </c>
      <c r="M497" s="226">
        <v>0</v>
      </c>
      <c r="N497" s="226">
        <v>0</v>
      </c>
      <c r="O497" s="692"/>
      <c r="P497" s="692"/>
      <c r="Q497" s="197">
        <v>35</v>
      </c>
      <c r="R497" s="197">
        <v>4.0310119999999996</v>
      </c>
      <c r="T497" s="115"/>
      <c r="U497" s="201"/>
      <c r="V497" s="201"/>
      <c r="W497" s="115"/>
      <c r="X497" s="115"/>
      <c r="Y497" s="115"/>
    </row>
    <row r="498" spans="1:25" ht="20.45">
      <c r="A498" s="152">
        <v>44984</v>
      </c>
      <c r="B498" s="152"/>
      <c r="C498" s="700" t="s">
        <v>723</v>
      </c>
      <c r="D498" s="232">
        <v>21.3825</v>
      </c>
      <c r="E498" s="197">
        <v>23.243600000000001</v>
      </c>
      <c r="F498" s="197">
        <v>20.913</v>
      </c>
      <c r="G498" s="197">
        <v>24.690300000000001</v>
      </c>
      <c r="H498" s="197">
        <v>24.14</v>
      </c>
      <c r="I498" s="197">
        <v>23.77</v>
      </c>
      <c r="J498" s="206" t="s">
        <v>730</v>
      </c>
      <c r="K498" s="206">
        <v>-65</v>
      </c>
      <c r="L498" s="226">
        <v>-60</v>
      </c>
      <c r="M498" s="226">
        <v>0</v>
      </c>
      <c r="N498" s="226">
        <v>0</v>
      </c>
      <c r="O498" s="199" t="s">
        <v>549</v>
      </c>
      <c r="P498" s="692"/>
      <c r="Q498" s="692"/>
      <c r="R498" s="692"/>
      <c r="S498" s="301">
        <v>22633</v>
      </c>
      <c r="T498" s="115"/>
      <c r="U498" s="202">
        <v>-3.5000000000000001E-3</v>
      </c>
      <c r="V498" s="202">
        <v>3.5000000000000001E-3</v>
      </c>
      <c r="W498" s="115"/>
      <c r="X498" s="115"/>
      <c r="Y498" s="115"/>
    </row>
    <row r="499" spans="1:25" ht="20.45">
      <c r="A499" s="152">
        <v>44984</v>
      </c>
      <c r="B499" s="152"/>
      <c r="C499" s="700" t="s">
        <v>724</v>
      </c>
      <c r="D499" s="232">
        <v>21.3825</v>
      </c>
      <c r="E499" s="197">
        <v>23.243600000000001</v>
      </c>
      <c r="F499" s="197">
        <v>20.913</v>
      </c>
      <c r="G499" s="197">
        <v>24.690300000000001</v>
      </c>
      <c r="H499" s="197">
        <v>24.14</v>
      </c>
      <c r="I499" s="197">
        <v>23.77</v>
      </c>
      <c r="J499" s="206" t="s">
        <v>730</v>
      </c>
      <c r="K499" s="206">
        <v>-65</v>
      </c>
      <c r="L499" s="226">
        <v>-60</v>
      </c>
      <c r="M499" s="226">
        <v>0</v>
      </c>
      <c r="N499" s="226">
        <v>0</v>
      </c>
      <c r="O499" s="199" t="s">
        <v>553</v>
      </c>
      <c r="P499" s="692"/>
      <c r="Q499" s="692"/>
      <c r="R499" s="208"/>
      <c r="S499" s="301">
        <v>22435</v>
      </c>
      <c r="T499" s="115"/>
      <c r="U499" s="201"/>
      <c r="V499" s="201"/>
      <c r="W499" s="125">
        <v>807.8</v>
      </c>
      <c r="X499" s="125">
        <v>601.6</v>
      </c>
      <c r="Y499" s="115"/>
    </row>
    <row r="500" spans="1:25" ht="20.45">
      <c r="A500" s="152">
        <v>44984</v>
      </c>
      <c r="B500" s="152"/>
      <c r="C500" s="700" t="s">
        <v>726</v>
      </c>
      <c r="D500" s="197">
        <v>21.391500000000001</v>
      </c>
      <c r="E500" s="197">
        <v>23.238499999999998</v>
      </c>
      <c r="F500" s="197">
        <v>20.886299999999999</v>
      </c>
      <c r="G500" s="197">
        <v>24.686599999999999</v>
      </c>
      <c r="H500" s="197">
        <v>24.64</v>
      </c>
      <c r="I500" s="197">
        <v>23.24</v>
      </c>
      <c r="J500" s="206" t="s">
        <v>730</v>
      </c>
      <c r="K500" s="206">
        <v>-65</v>
      </c>
      <c r="L500" s="226">
        <v>-60</v>
      </c>
      <c r="M500" s="226">
        <v>0</v>
      </c>
      <c r="N500" s="226">
        <v>0</v>
      </c>
      <c r="O500" s="692"/>
      <c r="P500" s="692"/>
      <c r="Q500" s="197">
        <v>7</v>
      </c>
      <c r="R500" s="197">
        <v>4.7619220000000002</v>
      </c>
      <c r="T500" s="115"/>
      <c r="U500" s="201"/>
      <c r="V500" s="201"/>
      <c r="W500" s="115"/>
      <c r="X500" s="115"/>
      <c r="Y500" s="115"/>
    </row>
    <row r="501" spans="1:25" ht="20.45">
      <c r="A501" s="152">
        <v>44984</v>
      </c>
      <c r="B501" s="152"/>
      <c r="C501" s="700" t="s">
        <v>725</v>
      </c>
      <c r="D501" s="197">
        <v>21.367000000000001</v>
      </c>
      <c r="E501" s="197">
        <v>23.196999999999999</v>
      </c>
      <c r="F501" s="197">
        <v>20.834299999999999</v>
      </c>
      <c r="G501" s="197">
        <v>24.673100000000002</v>
      </c>
      <c r="H501" s="197">
        <v>24.14</v>
      </c>
      <c r="I501" s="197">
        <v>23.77</v>
      </c>
      <c r="J501" s="206" t="s">
        <v>730</v>
      </c>
      <c r="K501" s="206">
        <v>-65</v>
      </c>
      <c r="L501" s="226">
        <v>-60</v>
      </c>
      <c r="M501" s="226">
        <v>0</v>
      </c>
      <c r="N501" s="226">
        <v>0</v>
      </c>
      <c r="O501" s="692"/>
      <c r="P501" s="692"/>
      <c r="Q501" s="197">
        <v>43</v>
      </c>
      <c r="R501" s="197">
        <v>4.0310459999999999</v>
      </c>
      <c r="T501" s="115"/>
      <c r="U501" s="201"/>
      <c r="V501" s="201"/>
      <c r="W501" s="115"/>
      <c r="X501" s="115"/>
      <c r="Y501" s="115"/>
    </row>
    <row r="502" spans="1:25">
      <c r="A502" s="152">
        <v>44984</v>
      </c>
      <c r="B502" s="152"/>
      <c r="C502" s="700" t="s">
        <v>31</v>
      </c>
      <c r="D502" s="197">
        <v>21.367000000000001</v>
      </c>
      <c r="E502" s="197">
        <v>23.196999999999999</v>
      </c>
      <c r="F502" s="197">
        <v>20.834299999999999</v>
      </c>
      <c r="G502" s="197">
        <v>24.673100000000002</v>
      </c>
      <c r="H502" s="197">
        <v>24.14</v>
      </c>
      <c r="I502" s="197">
        <v>23.77</v>
      </c>
      <c r="J502" s="197">
        <v>101.503</v>
      </c>
      <c r="K502" s="197">
        <v>125.709</v>
      </c>
      <c r="L502" s="197">
        <v>1.6000000000000001E-3</v>
      </c>
      <c r="M502" s="197">
        <v>1.2760000000000001E-2</v>
      </c>
      <c r="N502" s="197">
        <v>6.1929999999999999E-2</v>
      </c>
      <c r="O502" s="197" t="s">
        <v>549</v>
      </c>
      <c r="P502" s="692"/>
      <c r="Q502" s="692"/>
      <c r="R502" s="692"/>
      <c r="S502" s="301">
        <v>25239</v>
      </c>
      <c r="T502" s="115"/>
      <c r="U502" s="202">
        <v>-6.3E-3</v>
      </c>
      <c r="V502" s="202">
        <v>3.5000000000000001E-3</v>
      </c>
      <c r="W502" s="115"/>
      <c r="X502" s="115"/>
      <c r="Y502" s="115"/>
    </row>
    <row r="503" spans="1:25">
      <c r="A503" s="152">
        <v>44984</v>
      </c>
      <c r="B503" s="152"/>
      <c r="C503" s="700" t="s">
        <v>33</v>
      </c>
      <c r="D503" s="197">
        <v>21.367000000000001</v>
      </c>
      <c r="E503" s="197">
        <v>23.196999999999999</v>
      </c>
      <c r="F503" s="197">
        <v>20.834299999999999</v>
      </c>
      <c r="G503" s="197">
        <v>24.673100000000002</v>
      </c>
      <c r="H503" s="197">
        <v>24.14</v>
      </c>
      <c r="I503" s="197">
        <v>23.77</v>
      </c>
      <c r="J503" s="197">
        <v>66.693600000000004</v>
      </c>
      <c r="K503" s="197">
        <v>102.3984</v>
      </c>
      <c r="L503" s="197">
        <v>0</v>
      </c>
      <c r="M503" s="197">
        <v>1.2760000000000001E-2</v>
      </c>
      <c r="N503" s="197">
        <v>6.1929999999999999E-2</v>
      </c>
      <c r="O503" s="692"/>
      <c r="P503" s="692"/>
      <c r="Q503" s="197">
        <v>17</v>
      </c>
      <c r="R503" s="197">
        <v>3.4589120000000002</v>
      </c>
      <c r="T503" s="115"/>
      <c r="U503" s="115"/>
      <c r="V503" s="115"/>
      <c r="W503" s="115"/>
      <c r="X503" s="115"/>
      <c r="Y503" s="115"/>
    </row>
    <row r="504" spans="1:25">
      <c r="A504" s="152">
        <v>44984</v>
      </c>
      <c r="B504" s="152"/>
      <c r="C504" s="700" t="s">
        <v>32</v>
      </c>
      <c r="D504" s="197">
        <v>21.367000000000001</v>
      </c>
      <c r="E504" s="197">
        <v>23.196999999999999</v>
      </c>
      <c r="F504" s="197">
        <v>20.834299999999999</v>
      </c>
      <c r="G504" s="197">
        <v>24.673100000000002</v>
      </c>
      <c r="H504" s="197">
        <v>24.14</v>
      </c>
      <c r="I504" s="197">
        <v>23.77</v>
      </c>
      <c r="J504" s="197">
        <v>88.385400000000004</v>
      </c>
      <c r="K504" s="197">
        <v>107.38800000000001</v>
      </c>
      <c r="L504" s="197">
        <v>1.2999999999999999E-3</v>
      </c>
      <c r="M504" s="197">
        <v>1.2760000000000001E-2</v>
      </c>
      <c r="N504" s="197">
        <v>6.1929999999999999E-2</v>
      </c>
      <c r="O504" s="199">
        <v>1122</v>
      </c>
      <c r="P504" s="692"/>
      <c r="Q504" s="692"/>
      <c r="R504" s="692"/>
      <c r="S504" s="301">
        <v>30738</v>
      </c>
      <c r="T504" s="115"/>
      <c r="U504" s="201"/>
      <c r="V504" s="201"/>
      <c r="W504" s="125">
        <v>807.6</v>
      </c>
      <c r="X504" s="125">
        <v>601.70000000000005</v>
      </c>
      <c r="Y504" s="115"/>
    </row>
    <row r="505" spans="1:25" ht="21.6">
      <c r="A505" s="126" t="s">
        <v>0</v>
      </c>
      <c r="B505" s="126"/>
      <c r="C505" s="272" t="s">
        <v>375</v>
      </c>
      <c r="D505" s="750" t="s">
        <v>6</v>
      </c>
      <c r="E505" s="750"/>
      <c r="F505" s="750" t="s">
        <v>7</v>
      </c>
      <c r="G505" s="750"/>
      <c r="H505" s="750" t="s">
        <v>8</v>
      </c>
      <c r="I505" s="750"/>
      <c r="J505" s="696" t="s">
        <v>629</v>
      </c>
      <c r="K505" s="696" t="s">
        <v>630</v>
      </c>
      <c r="L505" s="696" t="s">
        <v>631</v>
      </c>
      <c r="M505" s="696" t="s">
        <v>632</v>
      </c>
      <c r="N505" s="696" t="s">
        <v>633</v>
      </c>
      <c r="O505" s="696" t="s">
        <v>14</v>
      </c>
      <c r="P505" s="696" t="s">
        <v>595</v>
      </c>
      <c r="Q505" s="696" t="s">
        <v>15</v>
      </c>
      <c r="R505" s="696" t="s">
        <v>16</v>
      </c>
      <c r="S505" s="303" t="s">
        <v>17</v>
      </c>
      <c r="T505" s="126" t="s">
        <v>419</v>
      </c>
      <c r="U505" s="203" t="s">
        <v>420</v>
      </c>
      <c r="V505" s="203" t="s">
        <v>421</v>
      </c>
      <c r="W505" s="126" t="s">
        <v>422</v>
      </c>
      <c r="X505" s="126" t="s">
        <v>423</v>
      </c>
      <c r="Y505" s="115"/>
    </row>
    <row r="506" spans="1:25">
      <c r="A506" s="152">
        <v>44999</v>
      </c>
      <c r="B506" s="152"/>
      <c r="C506" s="700" t="s">
        <v>25</v>
      </c>
      <c r="D506" s="197">
        <v>21.391500000000001</v>
      </c>
      <c r="E506" s="197">
        <v>23.238499999999998</v>
      </c>
      <c r="F506" s="197">
        <v>20.886299999999999</v>
      </c>
      <c r="G506" s="197">
        <v>24.686599999999999</v>
      </c>
      <c r="H506" s="197"/>
      <c r="I506" s="197"/>
      <c r="J506" s="206" t="s">
        <v>730</v>
      </c>
      <c r="K506" s="206">
        <v>-65.001000000000005</v>
      </c>
      <c r="L506" s="226">
        <v>-60.003999999999998</v>
      </c>
      <c r="M506" s="226"/>
      <c r="N506" s="226"/>
      <c r="O506" s="692"/>
      <c r="P506" s="692"/>
      <c r="Q506" s="692"/>
      <c r="R506" s="692"/>
      <c r="S506" s="306"/>
      <c r="T506" s="115"/>
      <c r="U506" s="233">
        <v>0.06</v>
      </c>
      <c r="V506" s="233">
        <v>1.4999999999999999E-2</v>
      </c>
      <c r="W506" s="115"/>
      <c r="X506" s="115"/>
      <c r="Y506" s="115"/>
    </row>
    <row r="507" spans="1:25">
      <c r="A507" s="152">
        <v>44999</v>
      </c>
      <c r="B507" s="152"/>
      <c r="C507" s="700" t="s">
        <v>752</v>
      </c>
      <c r="D507" s="197">
        <v>21.391500000000001</v>
      </c>
      <c r="E507" s="197">
        <v>23.238499999999998</v>
      </c>
      <c r="F507" s="197">
        <v>20.886299999999999</v>
      </c>
      <c r="G507" s="197">
        <v>24.686599999999999</v>
      </c>
      <c r="H507" s="197"/>
      <c r="I507" s="197"/>
      <c r="J507" s="206" t="s">
        <v>730</v>
      </c>
      <c r="K507" s="206">
        <v>-65</v>
      </c>
      <c r="L507" s="226">
        <v>-60</v>
      </c>
      <c r="M507" s="226"/>
      <c r="N507" s="226"/>
      <c r="O507" s="692"/>
      <c r="P507" s="692"/>
      <c r="Q507" s="692"/>
      <c r="R507" s="692"/>
      <c r="S507" s="306"/>
      <c r="T507" s="115"/>
      <c r="U507" s="201"/>
      <c r="V507" s="201"/>
      <c r="W507" s="230"/>
      <c r="X507" s="230"/>
      <c r="Y507" s="115"/>
    </row>
    <row r="508" spans="1:25">
      <c r="A508" s="152">
        <v>44999</v>
      </c>
      <c r="B508" s="152"/>
      <c r="C508" s="700" t="s">
        <v>753</v>
      </c>
      <c r="D508" s="197"/>
      <c r="E508" s="197"/>
      <c r="F508" s="197"/>
      <c r="G508" s="197"/>
      <c r="H508" s="197">
        <v>24.443000000000001</v>
      </c>
      <c r="I508" s="197">
        <v>23.491</v>
      </c>
      <c r="J508" s="197">
        <v>101.503</v>
      </c>
      <c r="K508" s="197">
        <v>125.709</v>
      </c>
      <c r="L508" s="197">
        <v>1.6000000000000001E-3</v>
      </c>
      <c r="M508" s="197"/>
      <c r="N508" s="197"/>
      <c r="O508" s="197"/>
      <c r="P508" s="692"/>
      <c r="Q508" s="197">
        <v>14</v>
      </c>
      <c r="R508" s="197">
        <v>4.0213919999999996</v>
      </c>
      <c r="T508" s="115"/>
      <c r="U508" s="201"/>
      <c r="V508" s="201"/>
      <c r="W508" s="115"/>
      <c r="X508" s="115"/>
      <c r="Y508" s="115"/>
    </row>
    <row r="509" spans="1:25" ht="21.6">
      <c r="A509" s="126" t="s">
        <v>0</v>
      </c>
      <c r="B509" s="126"/>
      <c r="C509" s="272" t="s">
        <v>375</v>
      </c>
      <c r="D509" s="750" t="s">
        <v>6</v>
      </c>
      <c r="E509" s="750"/>
      <c r="F509" s="750" t="s">
        <v>7</v>
      </c>
      <c r="G509" s="750"/>
      <c r="H509" s="750" t="s">
        <v>8</v>
      </c>
      <c r="I509" s="750"/>
      <c r="J509" s="696" t="s">
        <v>629</v>
      </c>
      <c r="K509" s="696" t="s">
        <v>630</v>
      </c>
      <c r="L509" s="696" t="s">
        <v>631</v>
      </c>
      <c r="M509" s="696" t="s">
        <v>632</v>
      </c>
      <c r="N509" s="696" t="s">
        <v>633</v>
      </c>
      <c r="O509" s="696" t="s">
        <v>14</v>
      </c>
      <c r="P509" s="696" t="s">
        <v>595</v>
      </c>
      <c r="Q509" s="696" t="s">
        <v>15</v>
      </c>
      <c r="R509" s="696" t="s">
        <v>16</v>
      </c>
      <c r="S509" s="303" t="s">
        <v>17</v>
      </c>
      <c r="T509" s="126" t="s">
        <v>419</v>
      </c>
      <c r="U509" s="203" t="s">
        <v>420</v>
      </c>
      <c r="V509" s="203" t="s">
        <v>421</v>
      </c>
      <c r="W509" s="126" t="s">
        <v>422</v>
      </c>
      <c r="X509" s="126" t="s">
        <v>423</v>
      </c>
      <c r="Y509" s="115"/>
    </row>
    <row r="510" spans="1:25">
      <c r="A510" s="152">
        <v>45000</v>
      </c>
      <c r="B510" s="152"/>
      <c r="C510" s="700" t="s">
        <v>754</v>
      </c>
      <c r="D510" s="197">
        <v>21.391500000000001</v>
      </c>
      <c r="E510" s="197">
        <v>23.238499999999998</v>
      </c>
      <c r="F510" s="197">
        <v>20.886299999999999</v>
      </c>
      <c r="G510" s="197">
        <v>24.686599999999999</v>
      </c>
      <c r="H510" s="197">
        <v>24.114999999999998</v>
      </c>
      <c r="I510" s="197">
        <v>23.704999999999998</v>
      </c>
      <c r="J510" s="206" t="s">
        <v>730</v>
      </c>
      <c r="K510" s="206">
        <v>-65</v>
      </c>
      <c r="L510" s="226">
        <v>-60</v>
      </c>
      <c r="M510" s="226"/>
      <c r="N510" s="226"/>
      <c r="O510" s="692"/>
      <c r="P510" s="692"/>
      <c r="Q510" s="197">
        <v>32</v>
      </c>
      <c r="R510" s="197">
        <v>4.0319240000000001</v>
      </c>
      <c r="T510" s="115"/>
      <c r="U510" s="201"/>
      <c r="V510" s="201"/>
      <c r="W510" s="115"/>
      <c r="X510" s="115"/>
      <c r="Y510" s="115"/>
    </row>
    <row r="511" spans="1:25">
      <c r="A511" s="152">
        <v>45000</v>
      </c>
      <c r="B511" s="152"/>
      <c r="C511" s="700" t="s">
        <v>753</v>
      </c>
      <c r="D511" s="197">
        <v>21.391500000000001</v>
      </c>
      <c r="E511" s="197">
        <v>23.238499999999998</v>
      </c>
      <c r="F511" s="197">
        <v>20.886299999999999</v>
      </c>
      <c r="G511" s="197">
        <v>24.686599999999999</v>
      </c>
      <c r="H511" s="197">
        <v>24.443000000000001</v>
      </c>
      <c r="I511" s="197">
        <v>23.47</v>
      </c>
      <c r="J511" s="197">
        <v>101.503</v>
      </c>
      <c r="K511" s="197">
        <v>125.709</v>
      </c>
      <c r="L511" s="197">
        <v>1.6000000000000001E-3</v>
      </c>
      <c r="M511" s="197"/>
      <c r="N511" s="197"/>
      <c r="O511" s="197"/>
      <c r="P511" s="692"/>
      <c r="Q511" s="197">
        <v>7</v>
      </c>
      <c r="R511" s="197">
        <v>4.0214400000000001</v>
      </c>
      <c r="T511" s="115"/>
      <c r="U511" s="201"/>
      <c r="V511" s="201"/>
      <c r="W511" s="115"/>
      <c r="X511" s="115"/>
      <c r="Y511" s="115"/>
    </row>
    <row r="512" spans="1:25">
      <c r="A512" s="152">
        <v>45000</v>
      </c>
      <c r="B512" s="152"/>
      <c r="C512" s="700" t="s">
        <v>753</v>
      </c>
      <c r="D512" s="197">
        <v>21.391500000000001</v>
      </c>
      <c r="E512" s="197">
        <v>23.238499999999998</v>
      </c>
      <c r="F512" s="197">
        <v>20.886299999999999</v>
      </c>
      <c r="G512" s="197">
        <v>24.686599999999999</v>
      </c>
      <c r="H512" s="197">
        <v>24.443999999999999</v>
      </c>
      <c r="I512" s="197">
        <v>23.47</v>
      </c>
      <c r="J512" s="197">
        <v>101.503</v>
      </c>
      <c r="K512" s="197">
        <v>125.709</v>
      </c>
      <c r="L512" s="197">
        <v>1.6000000000000001E-3</v>
      </c>
      <c r="M512" s="197"/>
      <c r="N512" s="197"/>
      <c r="O512" s="197"/>
      <c r="P512" s="692"/>
      <c r="Q512" s="197">
        <v>5</v>
      </c>
      <c r="R512" s="197">
        <v>4.021458</v>
      </c>
      <c r="T512" s="115"/>
      <c r="U512" s="201"/>
      <c r="V512" s="201"/>
      <c r="W512" s="115"/>
      <c r="X512" s="115"/>
      <c r="Y512" s="115"/>
    </row>
    <row r="513" spans="1:35">
      <c r="A513" s="152">
        <v>45000</v>
      </c>
      <c r="B513" s="152"/>
      <c r="C513" s="700" t="s">
        <v>753</v>
      </c>
      <c r="D513" s="197">
        <v>21.391500000000001</v>
      </c>
      <c r="E513" s="197">
        <v>23.238499999999998</v>
      </c>
      <c r="F513" s="197">
        <v>20.886299999999999</v>
      </c>
      <c r="G513" s="197">
        <v>24.686599999999999</v>
      </c>
      <c r="H513" s="692">
        <v>24.437999999999999</v>
      </c>
      <c r="I513" s="197">
        <v>23.47</v>
      </c>
      <c r="J513" s="692"/>
      <c r="K513" s="692"/>
      <c r="L513" s="692"/>
      <c r="M513" s="692"/>
      <c r="N513" s="692"/>
      <c r="O513" s="692"/>
      <c r="P513" s="692"/>
      <c r="Q513" s="692">
        <v>8</v>
      </c>
      <c r="R513" s="692">
        <v>4.0214980000000002</v>
      </c>
      <c r="T513" s="115"/>
      <c r="U513" s="115"/>
      <c r="V513" s="115"/>
      <c r="W513" s="115"/>
      <c r="X513" s="115"/>
      <c r="Y513" s="115"/>
    </row>
    <row r="514" spans="1:35">
      <c r="A514" s="152">
        <v>45000</v>
      </c>
      <c r="B514" s="152"/>
      <c r="C514" s="700" t="s">
        <v>753</v>
      </c>
      <c r="D514" s="197">
        <v>21.391500000000001</v>
      </c>
      <c r="E514" s="197">
        <v>23.238499999999998</v>
      </c>
      <c r="F514" s="197">
        <v>20.886299999999999</v>
      </c>
      <c r="G514" s="197">
        <v>24.686599999999999</v>
      </c>
      <c r="H514" s="692">
        <v>24.439</v>
      </c>
      <c r="I514" s="197">
        <v>23.47</v>
      </c>
      <c r="J514" s="692"/>
      <c r="K514" s="692"/>
      <c r="L514" s="692"/>
      <c r="M514" s="692"/>
      <c r="N514" s="692"/>
      <c r="O514" s="692"/>
      <c r="P514" s="692"/>
      <c r="Q514" s="692">
        <v>10</v>
      </c>
      <c r="R514" s="692">
        <v>4.0214869999999996</v>
      </c>
      <c r="T514" s="115"/>
      <c r="U514" s="115"/>
      <c r="V514" s="115"/>
      <c r="W514" s="115"/>
      <c r="X514" s="115"/>
      <c r="Y514" s="115"/>
    </row>
    <row r="515" spans="1:35">
      <c r="A515" s="152">
        <v>45000</v>
      </c>
      <c r="B515" s="152"/>
      <c r="C515" s="700" t="s">
        <v>753</v>
      </c>
      <c r="D515" s="197">
        <v>21.391500000000001</v>
      </c>
      <c r="E515" s="197">
        <v>23.238499999999998</v>
      </c>
      <c r="F515" s="197">
        <v>20.886299999999999</v>
      </c>
      <c r="G515" s="197">
        <v>24.686599999999999</v>
      </c>
      <c r="H515" s="692">
        <v>24.44</v>
      </c>
      <c r="I515" s="197">
        <v>23.47</v>
      </c>
      <c r="J515" s="692"/>
      <c r="K515" s="692"/>
      <c r="L515" s="692"/>
      <c r="M515" s="692"/>
      <c r="N515" s="692"/>
      <c r="O515" s="692"/>
      <c r="P515" s="692"/>
      <c r="Q515" s="692">
        <v>9</v>
      </c>
      <c r="R515" s="692">
        <v>4.0215290000000001</v>
      </c>
      <c r="T515" s="115"/>
      <c r="U515" s="115"/>
      <c r="V515" s="115"/>
      <c r="W515" s="115"/>
      <c r="X515" s="115"/>
      <c r="Y515" s="115"/>
    </row>
    <row r="516" spans="1:35">
      <c r="A516" s="152">
        <v>45000</v>
      </c>
      <c r="B516" s="152"/>
      <c r="C516" s="700" t="s">
        <v>753</v>
      </c>
      <c r="D516" s="197">
        <v>21.391500000000001</v>
      </c>
      <c r="E516" s="197">
        <v>23.238499999999998</v>
      </c>
      <c r="F516" s="197">
        <v>20.886299999999999</v>
      </c>
      <c r="G516" s="197">
        <v>24.686599999999999</v>
      </c>
      <c r="H516" s="692">
        <v>24.440999999999999</v>
      </c>
      <c r="I516" s="197">
        <v>23.47</v>
      </c>
      <c r="J516" s="692"/>
      <c r="K516" s="692"/>
      <c r="L516" s="692"/>
      <c r="M516" s="692"/>
      <c r="N516" s="692"/>
      <c r="O516" s="692"/>
      <c r="P516" s="692"/>
      <c r="Q516" s="692">
        <v>11</v>
      </c>
      <c r="R516" s="692">
        <v>4.0215670000000001</v>
      </c>
      <c r="T516" s="115"/>
      <c r="U516" s="115"/>
      <c r="V516" s="115"/>
      <c r="W516" s="115"/>
      <c r="X516" s="115"/>
      <c r="Y516" s="115"/>
    </row>
    <row r="517" spans="1:35">
      <c r="A517" s="152">
        <v>45000</v>
      </c>
      <c r="B517" s="152"/>
      <c r="C517" s="700" t="s">
        <v>753</v>
      </c>
      <c r="D517" s="197">
        <v>21.391500000000001</v>
      </c>
      <c r="E517" s="197">
        <v>23.238499999999998</v>
      </c>
      <c r="F517" s="197">
        <v>20.886299999999999</v>
      </c>
      <c r="G517" s="197">
        <v>24.686599999999999</v>
      </c>
      <c r="H517" s="692">
        <v>24.442</v>
      </c>
      <c r="I517" s="197">
        <v>23.47</v>
      </c>
      <c r="J517" s="692"/>
      <c r="K517" s="692"/>
      <c r="L517" s="692"/>
      <c r="M517" s="692"/>
      <c r="N517" s="692"/>
      <c r="O517" s="692"/>
      <c r="P517" s="692"/>
      <c r="Q517" s="692">
        <v>10</v>
      </c>
      <c r="R517" s="692">
        <v>4.0215959999999997</v>
      </c>
      <c r="T517" s="115"/>
      <c r="U517" s="115"/>
      <c r="V517" s="115"/>
      <c r="W517" s="115"/>
      <c r="X517" s="115"/>
      <c r="Y517" s="115"/>
    </row>
    <row r="518" spans="1:35">
      <c r="A518" s="152">
        <v>45000</v>
      </c>
      <c r="B518" s="152"/>
      <c r="C518" s="700" t="s">
        <v>753</v>
      </c>
      <c r="D518" s="197">
        <v>21.391500000000001</v>
      </c>
      <c r="E518" s="197">
        <v>23.238499999999998</v>
      </c>
      <c r="F518" s="197">
        <v>20.886299999999999</v>
      </c>
      <c r="G518" s="197">
        <v>24.686599999999999</v>
      </c>
      <c r="H518" s="692">
        <v>24.443000000000001</v>
      </c>
      <c r="I518" s="197">
        <v>23.47</v>
      </c>
      <c r="J518" s="692"/>
      <c r="K518" s="692"/>
      <c r="L518" s="692"/>
      <c r="M518" s="692"/>
      <c r="N518" s="692"/>
      <c r="O518" s="692"/>
      <c r="P518" s="692"/>
      <c r="Q518" s="692">
        <v>9</v>
      </c>
      <c r="R518" s="692">
        <v>4.0214910000000001</v>
      </c>
      <c r="T518" s="115"/>
      <c r="U518" s="115"/>
      <c r="V518" s="115"/>
      <c r="W518" s="115"/>
      <c r="X518" s="115"/>
      <c r="Y518" s="115"/>
    </row>
    <row r="519" spans="1:35">
      <c r="A519" s="152">
        <v>45000</v>
      </c>
      <c r="B519" s="152"/>
      <c r="C519" s="700" t="s">
        <v>753</v>
      </c>
      <c r="D519" s="197">
        <v>21.391500000000001</v>
      </c>
      <c r="E519" s="197">
        <v>23.238499999999998</v>
      </c>
      <c r="F519" s="197">
        <v>20.886299999999999</v>
      </c>
      <c r="G519" s="197">
        <v>24.686599999999999</v>
      </c>
      <c r="H519" s="692">
        <v>24.443999999999999</v>
      </c>
      <c r="I519" s="197">
        <v>23.47</v>
      </c>
      <c r="J519" s="692"/>
      <c r="K519" s="692"/>
      <c r="L519" s="692"/>
      <c r="M519" s="692"/>
      <c r="N519" s="692"/>
      <c r="O519" s="692"/>
      <c r="P519" s="692"/>
      <c r="Q519" s="692">
        <v>7</v>
      </c>
      <c r="R519" s="692">
        <v>4.0214660000000002</v>
      </c>
      <c r="T519" s="115"/>
      <c r="U519" s="115"/>
      <c r="V519" s="115"/>
      <c r="W519" s="115"/>
      <c r="X519" s="115"/>
      <c r="Y519" s="115"/>
    </row>
    <row r="520" spans="1:35">
      <c r="A520" s="152">
        <v>45000</v>
      </c>
      <c r="B520" s="152"/>
      <c r="C520" s="700" t="s">
        <v>753</v>
      </c>
      <c r="D520" s="197">
        <v>21.391500000000001</v>
      </c>
      <c r="E520" s="197">
        <v>23.238499999999998</v>
      </c>
      <c r="F520" s="197">
        <v>20.886299999999999</v>
      </c>
      <c r="G520" s="197">
        <v>24.686599999999999</v>
      </c>
      <c r="H520" s="692">
        <v>24.445</v>
      </c>
      <c r="I520" s="197">
        <v>23.47</v>
      </c>
      <c r="J520" s="692"/>
      <c r="K520" s="692"/>
      <c r="L520" s="692"/>
      <c r="M520" s="692"/>
      <c r="N520" s="692"/>
      <c r="O520" s="692"/>
      <c r="P520" s="692"/>
      <c r="Q520" s="692">
        <v>7</v>
      </c>
      <c r="R520" s="692">
        <v>4.0214879999999997</v>
      </c>
      <c r="T520" s="115"/>
      <c r="U520" s="115"/>
      <c r="V520" s="115"/>
      <c r="W520" s="115"/>
      <c r="X520" s="115"/>
      <c r="Y520" s="115"/>
      <c r="AA520" s="224">
        <v>0.69236111111111109</v>
      </c>
      <c r="AB520" s="164">
        <v>311.39999999999998</v>
      </c>
      <c r="AC520" s="164">
        <v>307.8</v>
      </c>
      <c r="AD520" s="164">
        <v>307.60000000000002</v>
      </c>
      <c r="AE520" s="164">
        <v>309.2</v>
      </c>
      <c r="AF520" s="164">
        <v>309.8</v>
      </c>
      <c r="AG520" s="164">
        <v>307</v>
      </c>
      <c r="AH520" s="164">
        <v>309.2</v>
      </c>
      <c r="AI520" s="164" t="s">
        <v>690</v>
      </c>
    </row>
    <row r="521" spans="1:35">
      <c r="A521" s="152">
        <v>45000</v>
      </c>
      <c r="B521" s="152"/>
      <c r="C521" s="275" t="s">
        <v>755</v>
      </c>
      <c r="D521" s="197">
        <v>21.391500000000001</v>
      </c>
      <c r="E521" s="197">
        <v>23.238499999999998</v>
      </c>
      <c r="F521" s="197">
        <v>20.886299999999999</v>
      </c>
      <c r="G521" s="197">
        <v>24.686599999999999</v>
      </c>
      <c r="H521" s="692">
        <v>24.445</v>
      </c>
      <c r="I521" s="197">
        <v>23.47</v>
      </c>
      <c r="J521" s="692"/>
      <c r="K521" s="692"/>
      <c r="L521" s="692"/>
      <c r="M521" s="692"/>
      <c r="N521" s="692"/>
      <c r="O521" s="692"/>
      <c r="P521" s="692"/>
      <c r="Q521" s="692"/>
      <c r="R521" s="692"/>
      <c r="T521" s="115"/>
      <c r="U521" s="230">
        <v>5.7000000000000002E-2</v>
      </c>
      <c r="V521" s="230">
        <v>9.4000000000000004E-3</v>
      </c>
      <c r="W521" s="115"/>
      <c r="X521" s="115"/>
      <c r="Y521" s="115"/>
    </row>
    <row r="522" spans="1:35">
      <c r="A522" s="152">
        <v>45000</v>
      </c>
      <c r="B522" s="152"/>
      <c r="C522" s="275" t="s">
        <v>755</v>
      </c>
      <c r="D522" s="197">
        <v>21.391500000000001</v>
      </c>
      <c r="E522" s="197">
        <v>23.238499999999998</v>
      </c>
      <c r="F522" s="197">
        <v>20.886299999999999</v>
      </c>
      <c r="G522" s="197">
        <v>24.686599999999999</v>
      </c>
      <c r="H522" s="692">
        <v>24.445</v>
      </c>
      <c r="I522" s="197">
        <v>23.47</v>
      </c>
      <c r="J522" s="692"/>
      <c r="K522" s="692"/>
      <c r="L522" s="692"/>
      <c r="M522" s="692"/>
      <c r="N522" s="692"/>
      <c r="O522" s="692"/>
      <c r="P522" s="692"/>
      <c r="Q522" s="692"/>
      <c r="R522" s="692"/>
      <c r="T522" s="115"/>
      <c r="U522" s="115"/>
      <c r="V522" s="115"/>
      <c r="W522" s="230">
        <v>772.5</v>
      </c>
      <c r="X522" s="230">
        <v>579.70000000000005</v>
      </c>
      <c r="Y522" s="115"/>
    </row>
    <row r="523" spans="1:35">
      <c r="A523" s="152">
        <v>45000</v>
      </c>
      <c r="B523" s="152"/>
      <c r="C523" s="275" t="s">
        <v>756</v>
      </c>
      <c r="D523" s="229">
        <v>20.440999999999999</v>
      </c>
      <c r="E523" s="229">
        <v>23.891999999999999</v>
      </c>
      <c r="F523" s="229">
        <v>21.7805</v>
      </c>
      <c r="G523" s="229">
        <v>23.822199999999999</v>
      </c>
      <c r="H523" s="229">
        <v>24.445</v>
      </c>
      <c r="I523" s="197">
        <v>23.47</v>
      </c>
      <c r="J523" s="692"/>
      <c r="K523" s="692"/>
      <c r="L523" s="692"/>
      <c r="M523" s="692"/>
      <c r="N523" s="692"/>
      <c r="O523" s="229" t="s">
        <v>47</v>
      </c>
      <c r="P523" s="692"/>
      <c r="Q523" s="692"/>
      <c r="R523" s="692"/>
      <c r="S523" s="306">
        <v>81207</v>
      </c>
      <c r="T523" s="115"/>
      <c r="U523" s="115"/>
      <c r="V523" s="115"/>
      <c r="W523" s="228">
        <v>807.6</v>
      </c>
      <c r="X523" s="228">
        <v>602.5</v>
      </c>
      <c r="Y523" s="115"/>
      <c r="AA523" s="223">
        <v>0.24027777777777778</v>
      </c>
      <c r="AB523" s="164">
        <v>311.8</v>
      </c>
      <c r="AC523" s="164">
        <v>308.3</v>
      </c>
      <c r="AD523" s="164">
        <v>308</v>
      </c>
      <c r="AE523" s="164">
        <v>309.39999999999998</v>
      </c>
      <c r="AF523" s="164">
        <v>309.39999999999998</v>
      </c>
      <c r="AG523" s="164">
        <v>307.5</v>
      </c>
      <c r="AH523" s="164">
        <v>309.3</v>
      </c>
    </row>
    <row r="524" spans="1:35" ht="20.45">
      <c r="A524" s="152">
        <v>45000</v>
      </c>
      <c r="B524" s="152"/>
      <c r="C524" s="700" t="s">
        <v>757</v>
      </c>
      <c r="D524" s="229">
        <v>20.440999999999999</v>
      </c>
      <c r="E524" s="229">
        <v>23.891999999999999</v>
      </c>
      <c r="F524" s="229">
        <v>21.7805</v>
      </c>
      <c r="G524" s="229">
        <v>23.822199999999999</v>
      </c>
      <c r="H524" s="229">
        <v>24.445</v>
      </c>
      <c r="I524" s="197">
        <v>23.47</v>
      </c>
      <c r="J524" s="692"/>
      <c r="K524" s="692"/>
      <c r="L524" s="692"/>
      <c r="M524" s="692"/>
      <c r="N524" s="692"/>
      <c r="O524" s="229" t="s">
        <v>68</v>
      </c>
      <c r="P524" s="692"/>
      <c r="Q524" s="692"/>
      <c r="R524" s="692"/>
      <c r="S524" s="306">
        <v>81933</v>
      </c>
      <c r="T524" s="115"/>
      <c r="U524" s="230">
        <v>-1E-4</v>
      </c>
      <c r="V524" s="230">
        <v>-3.3999999999999998E-3</v>
      </c>
      <c r="W524" s="115"/>
      <c r="X524" s="115"/>
      <c r="Y524" s="115"/>
    </row>
    <row r="525" spans="1:35" ht="20.45">
      <c r="A525" s="152">
        <v>45000</v>
      </c>
      <c r="B525" s="152"/>
      <c r="C525" s="700" t="s">
        <v>758</v>
      </c>
      <c r="D525" s="229">
        <v>20.440999999999999</v>
      </c>
      <c r="E525" s="229">
        <v>23.891999999999999</v>
      </c>
      <c r="F525" s="229">
        <v>21.7805</v>
      </c>
      <c r="G525" s="229">
        <v>23.822199999999999</v>
      </c>
      <c r="H525" s="229">
        <v>24.445</v>
      </c>
      <c r="I525" s="197">
        <v>23.47</v>
      </c>
      <c r="J525" s="692"/>
      <c r="K525" s="692"/>
      <c r="L525" s="692"/>
      <c r="M525" s="692"/>
      <c r="N525" s="692"/>
      <c r="O525" s="229" t="s">
        <v>75</v>
      </c>
      <c r="P525" s="692"/>
      <c r="Q525" s="692"/>
      <c r="R525" s="692"/>
      <c r="S525" s="306">
        <v>82751</v>
      </c>
      <c r="T525" s="115"/>
      <c r="U525" s="230">
        <v>2.9999999999999997E-4</v>
      </c>
      <c r="V525" s="230">
        <v>1E-4</v>
      </c>
      <c r="W525" s="115"/>
      <c r="X525" s="115"/>
      <c r="Y525" s="115"/>
    </row>
    <row r="526" spans="1:35" ht="20.45">
      <c r="A526" s="152">
        <v>45000</v>
      </c>
      <c r="B526" s="152"/>
      <c r="C526" s="700" t="s">
        <v>759</v>
      </c>
      <c r="D526" s="229">
        <v>20.440999999999999</v>
      </c>
      <c r="E526" s="229">
        <v>23.891999999999999</v>
      </c>
      <c r="F526" s="229">
        <v>21.7805</v>
      </c>
      <c r="G526" s="229">
        <v>23.822199999999999</v>
      </c>
      <c r="H526" s="229">
        <v>24.445</v>
      </c>
      <c r="I526" s="197">
        <v>23.47</v>
      </c>
      <c r="J526" s="692"/>
      <c r="K526" s="692"/>
      <c r="L526" s="692"/>
      <c r="M526" s="692"/>
      <c r="N526" s="692"/>
      <c r="O526" s="229" t="s">
        <v>47</v>
      </c>
      <c r="P526" s="692"/>
      <c r="Q526" s="692"/>
      <c r="R526" s="692"/>
      <c r="S526" s="306">
        <v>83821</v>
      </c>
      <c r="T526" s="115"/>
      <c r="U526" s="115"/>
      <c r="V526" s="115"/>
      <c r="W526" s="230">
        <v>811.6</v>
      </c>
      <c r="X526" s="230">
        <v>601.6</v>
      </c>
      <c r="Y526" s="115"/>
      <c r="AA526" s="224">
        <v>0.77708333333333324</v>
      </c>
      <c r="AB526" s="164">
        <v>312</v>
      </c>
      <c r="AC526" s="164">
        <v>308.60000000000002</v>
      </c>
      <c r="AD526" s="164">
        <v>308.2</v>
      </c>
      <c r="AE526" s="164">
        <v>309.7</v>
      </c>
      <c r="AF526" s="164">
        <v>313.89999999999998</v>
      </c>
      <c r="AG526" s="164">
        <v>307.8</v>
      </c>
      <c r="AH526" s="164">
        <v>309.89999999999998</v>
      </c>
    </row>
    <row r="527" spans="1:35" ht="20.45">
      <c r="A527" s="152">
        <v>45000</v>
      </c>
      <c r="B527" s="152"/>
      <c r="C527" s="700" t="s">
        <v>760</v>
      </c>
      <c r="D527" s="229">
        <v>20.440999999999999</v>
      </c>
      <c r="E527" s="229">
        <v>23.891999999999999</v>
      </c>
      <c r="F527" s="229">
        <v>21.7805</v>
      </c>
      <c r="G527" s="229">
        <v>23.822199999999999</v>
      </c>
      <c r="H527" s="229">
        <v>24.445</v>
      </c>
      <c r="I527" s="197">
        <v>23.47</v>
      </c>
      <c r="J527" s="692"/>
      <c r="K527" s="692"/>
      <c r="L527" s="692"/>
      <c r="M527" s="692"/>
      <c r="N527" s="692"/>
      <c r="O527" s="229" t="s">
        <v>82</v>
      </c>
      <c r="P527" s="692"/>
      <c r="Q527" s="692"/>
      <c r="R527" s="692"/>
      <c r="S527" s="306">
        <v>84623</v>
      </c>
      <c r="T527" s="115"/>
      <c r="U527" s="115"/>
      <c r="V527" s="115"/>
      <c r="W527" s="230">
        <v>811.6</v>
      </c>
      <c r="X527" s="230">
        <v>601.6</v>
      </c>
      <c r="Y527" s="115"/>
    </row>
    <row r="528" spans="1:35" ht="20.45">
      <c r="A528" s="152">
        <v>45000</v>
      </c>
      <c r="B528" s="152"/>
      <c r="C528" s="700" t="s">
        <v>761</v>
      </c>
      <c r="D528" s="229">
        <v>20.440999999999999</v>
      </c>
      <c r="E528" s="229">
        <v>23.891999999999999</v>
      </c>
      <c r="F528" s="229">
        <v>21.7805</v>
      </c>
      <c r="G528" s="229">
        <v>23.822199999999999</v>
      </c>
      <c r="H528" s="229">
        <v>24.445</v>
      </c>
      <c r="I528" s="197">
        <v>23.47</v>
      </c>
      <c r="J528" s="692"/>
      <c r="K528" s="692"/>
      <c r="L528" s="692"/>
      <c r="M528" s="692"/>
      <c r="N528" s="692"/>
      <c r="O528" s="229" t="s">
        <v>75</v>
      </c>
      <c r="P528" s="692"/>
      <c r="Q528" s="692"/>
      <c r="R528" s="692"/>
      <c r="S528" s="306">
        <v>84952</v>
      </c>
      <c r="T528" s="115"/>
      <c r="U528" s="230">
        <v>5.9999999999999995E-4</v>
      </c>
      <c r="V528" s="230">
        <v>1.1000000000000001E-3</v>
      </c>
      <c r="W528" s="115"/>
      <c r="X528" s="115"/>
      <c r="Y528" s="115"/>
    </row>
    <row r="529" spans="1:34" ht="20.45">
      <c r="A529" s="152">
        <v>45000</v>
      </c>
      <c r="B529" s="152"/>
      <c r="C529" s="700" t="s">
        <v>762</v>
      </c>
      <c r="D529" s="229">
        <v>20.440999999999999</v>
      </c>
      <c r="E529" s="229">
        <v>23.891999999999999</v>
      </c>
      <c r="F529" s="229">
        <v>21.7805</v>
      </c>
      <c r="G529" s="229">
        <v>23.822199999999999</v>
      </c>
      <c r="H529" s="229">
        <v>24.445</v>
      </c>
      <c r="I529" s="197">
        <v>23.47</v>
      </c>
      <c r="J529" s="692"/>
      <c r="K529" s="692"/>
      <c r="L529" s="692"/>
      <c r="M529" s="692"/>
      <c r="N529" s="692"/>
      <c r="O529" s="229" t="s">
        <v>55</v>
      </c>
      <c r="P529" s="692"/>
      <c r="Q529" s="692"/>
      <c r="R529" s="692"/>
      <c r="S529" s="306">
        <v>92110</v>
      </c>
      <c r="T529" s="115"/>
      <c r="U529" s="230">
        <v>-1E-4</v>
      </c>
      <c r="V529" s="230">
        <v>1.5E-3</v>
      </c>
      <c r="W529" s="115"/>
      <c r="X529" s="115"/>
      <c r="Y529" s="115"/>
    </row>
    <row r="530" spans="1:34" ht="20.45">
      <c r="A530" s="152">
        <v>45000</v>
      </c>
      <c r="B530" s="152"/>
      <c r="C530" s="700" t="s">
        <v>763</v>
      </c>
      <c r="D530" s="229">
        <v>20.440999999999999</v>
      </c>
      <c r="E530" s="229">
        <v>23.891999999999999</v>
      </c>
      <c r="F530" s="229">
        <v>21.7805</v>
      </c>
      <c r="G530" s="229">
        <v>23.822199999999999</v>
      </c>
      <c r="H530" s="229">
        <v>24.445</v>
      </c>
      <c r="I530" s="197">
        <v>23.47</v>
      </c>
      <c r="J530" s="692"/>
      <c r="K530" s="692"/>
      <c r="L530" s="692"/>
      <c r="M530" s="692"/>
      <c r="N530" s="692"/>
      <c r="O530" s="229" t="s">
        <v>82</v>
      </c>
      <c r="P530" s="692"/>
      <c r="Q530" s="692"/>
      <c r="R530" s="692"/>
      <c r="S530" s="306">
        <v>92356</v>
      </c>
      <c r="T530" s="115"/>
      <c r="U530" s="115"/>
      <c r="V530" s="115"/>
      <c r="W530" s="230">
        <v>813.5</v>
      </c>
      <c r="X530" s="230">
        <v>600.6</v>
      </c>
      <c r="Y530" s="115"/>
    </row>
    <row r="531" spans="1:34" ht="21.6">
      <c r="A531" s="126" t="s">
        <v>0</v>
      </c>
      <c r="B531" s="126"/>
      <c r="C531" s="272" t="s">
        <v>375</v>
      </c>
      <c r="D531" s="750" t="s">
        <v>6</v>
      </c>
      <c r="E531" s="750"/>
      <c r="F531" s="750" t="s">
        <v>7</v>
      </c>
      <c r="G531" s="750"/>
      <c r="H531" s="750" t="s">
        <v>8</v>
      </c>
      <c r="I531" s="750"/>
      <c r="J531" s="696" t="s">
        <v>629</v>
      </c>
      <c r="K531" s="696" t="s">
        <v>630</v>
      </c>
      <c r="L531" s="696" t="s">
        <v>631</v>
      </c>
      <c r="M531" s="696" t="s">
        <v>632</v>
      </c>
      <c r="N531" s="696" t="s">
        <v>633</v>
      </c>
      <c r="O531" s="696" t="s">
        <v>14</v>
      </c>
      <c r="P531" s="696" t="s">
        <v>595</v>
      </c>
      <c r="Q531" s="696" t="s">
        <v>15</v>
      </c>
      <c r="R531" s="696" t="s">
        <v>16</v>
      </c>
      <c r="S531" s="303" t="s">
        <v>17</v>
      </c>
      <c r="T531" s="126" t="s">
        <v>419</v>
      </c>
      <c r="U531" s="203" t="s">
        <v>420</v>
      </c>
      <c r="V531" s="203" t="s">
        <v>421</v>
      </c>
      <c r="W531" s="126" t="s">
        <v>422</v>
      </c>
      <c r="X531" s="126" t="s">
        <v>423</v>
      </c>
      <c r="Y531" s="115"/>
    </row>
    <row r="532" spans="1:34" ht="20.45">
      <c r="A532" s="152">
        <v>45001</v>
      </c>
      <c r="B532" s="152"/>
      <c r="C532" s="700" t="s">
        <v>764</v>
      </c>
      <c r="D532" s="229">
        <v>20.440999999999999</v>
      </c>
      <c r="E532" s="229">
        <v>23.891999999999999</v>
      </c>
      <c r="F532" s="229">
        <v>21.7805</v>
      </c>
      <c r="G532" s="229">
        <v>23.822199999999999</v>
      </c>
      <c r="H532" s="229">
        <v>24.445</v>
      </c>
      <c r="I532" s="197">
        <v>23.47</v>
      </c>
      <c r="J532" s="692"/>
      <c r="K532" s="692"/>
      <c r="L532" s="692"/>
      <c r="M532" s="692"/>
      <c r="N532" s="692"/>
      <c r="O532" s="229" t="s">
        <v>55</v>
      </c>
      <c r="P532" s="692"/>
      <c r="Q532" s="692"/>
      <c r="R532" s="692"/>
      <c r="S532" s="306">
        <v>84402</v>
      </c>
      <c r="T532" s="115"/>
      <c r="U532" s="230">
        <v>-2.2000000000000001E-3</v>
      </c>
      <c r="V532" s="230">
        <v>2.2000000000000001E-3</v>
      </c>
      <c r="W532" s="115"/>
      <c r="X532" s="115"/>
      <c r="Y532" s="115"/>
      <c r="AA532" s="164" t="s">
        <v>765</v>
      </c>
    </row>
    <row r="533" spans="1:34" ht="20.45">
      <c r="A533" s="152">
        <v>45001</v>
      </c>
      <c r="B533" s="152"/>
      <c r="C533" s="700" t="s">
        <v>764</v>
      </c>
      <c r="D533" s="229">
        <v>20.440999999999999</v>
      </c>
      <c r="E533" s="229">
        <v>23.891999999999999</v>
      </c>
      <c r="F533" s="229">
        <v>21.7805</v>
      </c>
      <c r="G533" s="229">
        <v>23.822199999999999</v>
      </c>
      <c r="H533" s="229">
        <v>24.445</v>
      </c>
      <c r="I533" s="197">
        <v>23.47</v>
      </c>
      <c r="J533" s="692"/>
      <c r="K533" s="692"/>
      <c r="L533" s="692"/>
      <c r="M533" s="692"/>
      <c r="N533" s="692"/>
      <c r="O533" s="229" t="s">
        <v>82</v>
      </c>
      <c r="P533" s="692"/>
      <c r="Q533" s="692"/>
      <c r="R533" s="692"/>
      <c r="S533" s="306">
        <v>85706</v>
      </c>
      <c r="T533" s="115"/>
      <c r="U533" s="115"/>
      <c r="V533" s="115"/>
      <c r="W533" s="230">
        <v>810.7</v>
      </c>
      <c r="X533" s="230">
        <v>597</v>
      </c>
      <c r="Y533" s="115"/>
      <c r="AA533" s="224" t="s">
        <v>766</v>
      </c>
    </row>
    <row r="534" spans="1:34">
      <c r="A534" s="152">
        <v>45001</v>
      </c>
      <c r="B534" s="152"/>
      <c r="C534" s="700" t="s">
        <v>722</v>
      </c>
      <c r="D534" s="229">
        <v>20.440999999999999</v>
      </c>
      <c r="E534" s="229">
        <v>23.891999999999999</v>
      </c>
      <c r="F534" s="229">
        <v>21.7805</v>
      </c>
      <c r="G534" s="229">
        <v>23.822199999999999</v>
      </c>
      <c r="H534" s="197">
        <v>24.64</v>
      </c>
      <c r="I534" s="197">
        <v>23.24</v>
      </c>
      <c r="J534" s="695"/>
      <c r="K534" s="695"/>
      <c r="L534" s="234"/>
      <c r="M534" s="234"/>
      <c r="N534" s="234"/>
      <c r="O534" s="692"/>
      <c r="P534" s="692"/>
      <c r="Q534" s="197"/>
      <c r="R534" s="197"/>
      <c r="T534" s="115"/>
      <c r="U534" s="201"/>
      <c r="V534" s="201"/>
      <c r="W534" s="115"/>
      <c r="X534" s="115"/>
      <c r="Y534" s="115"/>
      <c r="Z534" s="235" t="s">
        <v>767</v>
      </c>
    </row>
    <row r="535" spans="1:34">
      <c r="A535" s="152">
        <v>45001</v>
      </c>
      <c r="B535" s="152"/>
      <c r="C535" s="700" t="s">
        <v>27</v>
      </c>
      <c r="D535" s="229">
        <v>20.440999999999999</v>
      </c>
      <c r="E535" s="229">
        <v>23.891999999999999</v>
      </c>
      <c r="F535" s="229">
        <v>21.7805</v>
      </c>
      <c r="G535" s="229">
        <v>23.822199999999999</v>
      </c>
      <c r="H535" s="197">
        <v>24.13</v>
      </c>
      <c r="I535" s="197">
        <v>23.72</v>
      </c>
      <c r="J535" s="695"/>
      <c r="K535" s="695"/>
      <c r="L535" s="234"/>
      <c r="M535" s="234"/>
      <c r="N535" s="234"/>
      <c r="O535" s="692"/>
      <c r="P535" s="692"/>
      <c r="Q535" s="197">
        <v>31</v>
      </c>
      <c r="R535" s="197">
        <v>4.0316369999999999</v>
      </c>
      <c r="T535" s="115"/>
      <c r="U535" s="201"/>
      <c r="V535" s="201"/>
      <c r="W535" s="115"/>
      <c r="X535" s="115"/>
      <c r="Y535" s="115"/>
    </row>
    <row r="536" spans="1:34" ht="20.45">
      <c r="A536" s="152">
        <v>45001</v>
      </c>
      <c r="B536" s="152"/>
      <c r="C536" s="700" t="s">
        <v>764</v>
      </c>
      <c r="D536" s="229">
        <v>20.440999999999999</v>
      </c>
      <c r="E536" s="229">
        <v>23.891999999999999</v>
      </c>
      <c r="F536" s="229">
        <v>21.7805</v>
      </c>
      <c r="G536" s="229">
        <v>23.822199999999999</v>
      </c>
      <c r="H536" s="229"/>
      <c r="I536" s="197"/>
      <c r="J536" s="692"/>
      <c r="K536" s="692"/>
      <c r="L536" s="692"/>
      <c r="M536" s="692"/>
      <c r="N536" s="692"/>
      <c r="O536" s="229" t="s">
        <v>55</v>
      </c>
      <c r="P536" s="692"/>
      <c r="Q536" s="692"/>
      <c r="R536" s="692"/>
      <c r="S536" s="306">
        <v>1542</v>
      </c>
      <c r="T536" s="115"/>
      <c r="U536" s="230">
        <v>-2.2000000000000001E-3</v>
      </c>
      <c r="V536" s="230">
        <v>2.2000000000000001E-3</v>
      </c>
      <c r="W536" s="115"/>
      <c r="X536" s="115"/>
      <c r="Y536" s="115"/>
      <c r="AA536" s="164" t="s">
        <v>768</v>
      </c>
    </row>
    <row r="537" spans="1:34" ht="20.45">
      <c r="A537" s="152">
        <v>45001</v>
      </c>
      <c r="B537" s="152"/>
      <c r="C537" s="700" t="s">
        <v>764</v>
      </c>
      <c r="D537" s="229">
        <v>20.440999999999999</v>
      </c>
      <c r="E537" s="229">
        <v>23.891999999999999</v>
      </c>
      <c r="F537" s="229">
        <v>21.7805</v>
      </c>
      <c r="G537" s="229">
        <v>23.822199999999999</v>
      </c>
      <c r="H537" s="229"/>
      <c r="I537" s="197"/>
      <c r="J537" s="692"/>
      <c r="K537" s="692"/>
      <c r="L537" s="692"/>
      <c r="M537" s="692"/>
      <c r="N537" s="692"/>
      <c r="O537" s="229" t="s">
        <v>82</v>
      </c>
      <c r="P537" s="692"/>
      <c r="Q537" s="692"/>
      <c r="R537" s="692"/>
      <c r="S537" s="306">
        <v>1325</v>
      </c>
      <c r="T537" s="115"/>
      <c r="U537" s="115"/>
      <c r="V537" s="236"/>
      <c r="W537" s="230">
        <v>812</v>
      </c>
      <c r="X537" s="230">
        <v>605.70000000000005</v>
      </c>
      <c r="Y537" s="115"/>
      <c r="AA537" s="164" t="s">
        <v>768</v>
      </c>
    </row>
    <row r="538" spans="1:34" ht="20.45">
      <c r="A538" s="152">
        <v>45001</v>
      </c>
      <c r="B538" s="152"/>
      <c r="C538" s="700" t="s">
        <v>764</v>
      </c>
      <c r="D538" s="229">
        <v>20.440999999999999</v>
      </c>
      <c r="E538" s="229">
        <v>23.891999999999999</v>
      </c>
      <c r="F538" s="229">
        <v>21.7805</v>
      </c>
      <c r="G538" s="229">
        <v>23.822199999999999</v>
      </c>
      <c r="H538" s="197">
        <v>24.64</v>
      </c>
      <c r="I538" s="197">
        <v>23.24</v>
      </c>
      <c r="J538" s="692"/>
      <c r="K538" s="692"/>
      <c r="L538" s="692"/>
      <c r="M538" s="692"/>
      <c r="N538" s="692"/>
      <c r="O538" s="229" t="s">
        <v>82</v>
      </c>
      <c r="P538" s="692"/>
      <c r="Q538" s="692"/>
      <c r="R538" s="692"/>
      <c r="S538" s="306">
        <v>11606</v>
      </c>
      <c r="T538" s="115"/>
      <c r="U538" s="115"/>
      <c r="V538" s="115"/>
      <c r="W538" s="230">
        <v>812.9</v>
      </c>
      <c r="X538" s="230">
        <v>604.70000000000005</v>
      </c>
      <c r="Y538" s="115"/>
      <c r="AA538" s="164" t="s">
        <v>769</v>
      </c>
      <c r="AB538" s="164">
        <v>308</v>
      </c>
      <c r="AC538" s="164">
        <v>305</v>
      </c>
      <c r="AD538" s="164">
        <v>304.8</v>
      </c>
      <c r="AE538" s="164">
        <v>305.89999999999998</v>
      </c>
      <c r="AF538" s="164">
        <v>305.8</v>
      </c>
      <c r="AG538" s="164">
        <v>304.2</v>
      </c>
      <c r="AH538" s="164">
        <v>305.5</v>
      </c>
    </row>
    <row r="539" spans="1:34" ht="20.45">
      <c r="A539" s="152">
        <v>45001</v>
      </c>
      <c r="B539" s="152"/>
      <c r="C539" s="700" t="s">
        <v>764</v>
      </c>
      <c r="D539" s="229">
        <v>20.440999999999999</v>
      </c>
      <c r="E539" s="229">
        <v>23.891999999999999</v>
      </c>
      <c r="F539" s="229">
        <v>21.7805</v>
      </c>
      <c r="G539" s="229">
        <v>23.822199999999999</v>
      </c>
      <c r="H539" s="197">
        <v>24.13</v>
      </c>
      <c r="I539" s="197">
        <v>23.72</v>
      </c>
      <c r="J539" s="692"/>
      <c r="K539" s="692"/>
      <c r="L539" s="692"/>
      <c r="M539" s="692"/>
      <c r="N539" s="692"/>
      <c r="O539" s="229" t="s">
        <v>82</v>
      </c>
      <c r="P539" s="692"/>
      <c r="Q539" s="692"/>
      <c r="R539" s="692"/>
      <c r="S539" s="306">
        <v>11838</v>
      </c>
      <c r="T539" s="115"/>
      <c r="U539" s="115"/>
      <c r="V539" s="236"/>
      <c r="W539" s="230">
        <v>812.9</v>
      </c>
      <c r="X539" s="230">
        <v>604.70000000000005</v>
      </c>
      <c r="Y539" s="115"/>
      <c r="AA539" s="164" t="s">
        <v>770</v>
      </c>
    </row>
    <row r="540" spans="1:34" ht="20.45">
      <c r="A540" s="152">
        <v>45001</v>
      </c>
      <c r="B540" s="152"/>
      <c r="C540" s="700" t="s">
        <v>764</v>
      </c>
      <c r="D540" s="229">
        <v>20.440999999999999</v>
      </c>
      <c r="E540" s="229">
        <v>23.891999999999999</v>
      </c>
      <c r="F540" s="229">
        <v>21.7805</v>
      </c>
      <c r="G540" s="229">
        <v>23.822199999999999</v>
      </c>
      <c r="H540" s="197">
        <v>24.13</v>
      </c>
      <c r="I540" s="197">
        <v>23.72</v>
      </c>
      <c r="J540" s="692"/>
      <c r="K540" s="692"/>
      <c r="L540" s="692"/>
      <c r="M540" s="692"/>
      <c r="N540" s="692"/>
      <c r="O540" s="229" t="s">
        <v>82</v>
      </c>
      <c r="P540" s="692"/>
      <c r="Q540" s="692"/>
      <c r="R540" s="692"/>
      <c r="S540" s="306">
        <v>13209</v>
      </c>
      <c r="T540" s="115"/>
      <c r="U540" s="115"/>
      <c r="V540" s="236"/>
      <c r="W540" s="230">
        <v>812.8</v>
      </c>
      <c r="X540" s="230">
        <v>604.70000000000005</v>
      </c>
      <c r="Y540" s="115"/>
      <c r="AA540" s="164" t="s">
        <v>771</v>
      </c>
      <c r="AB540" s="164">
        <v>308.10000000000002</v>
      </c>
      <c r="AC540" s="164">
        <v>305.2</v>
      </c>
      <c r="AD540" s="164">
        <v>305</v>
      </c>
      <c r="AE540" s="164">
        <v>306</v>
      </c>
      <c r="AF540" s="164">
        <v>307.7</v>
      </c>
      <c r="AG540" s="164">
        <v>304.3</v>
      </c>
      <c r="AH540" s="164">
        <v>305.7</v>
      </c>
    </row>
    <row r="541" spans="1:34" ht="20.45">
      <c r="A541" s="152">
        <v>45001</v>
      </c>
      <c r="B541" s="152"/>
      <c r="C541" s="700" t="s">
        <v>764</v>
      </c>
      <c r="D541" s="229">
        <v>20.440999999999999</v>
      </c>
      <c r="E541" s="229">
        <v>23.891999999999999</v>
      </c>
      <c r="F541" s="229">
        <v>21.7805</v>
      </c>
      <c r="G541" s="229">
        <v>23.822199999999999</v>
      </c>
      <c r="H541" s="197">
        <v>24.13</v>
      </c>
      <c r="I541" s="197">
        <v>23.72</v>
      </c>
      <c r="J541" s="692"/>
      <c r="K541" s="692"/>
      <c r="L541" s="692"/>
      <c r="M541" s="692"/>
      <c r="N541" s="692"/>
      <c r="O541" s="229" t="s">
        <v>82</v>
      </c>
      <c r="P541" s="692"/>
      <c r="Q541" s="692"/>
      <c r="R541" s="692"/>
      <c r="S541" s="306">
        <v>13536</v>
      </c>
      <c r="T541" s="115"/>
      <c r="U541" s="115"/>
      <c r="V541" s="236"/>
      <c r="W541" s="230">
        <v>812.8</v>
      </c>
      <c r="X541" s="230">
        <v>604.79999999999995</v>
      </c>
      <c r="Y541" s="115"/>
      <c r="AA541" s="164" t="s">
        <v>772</v>
      </c>
    </row>
    <row r="542" spans="1:34" ht="20.45">
      <c r="A542" s="152">
        <v>45001</v>
      </c>
      <c r="B542" s="152"/>
      <c r="C542" s="700" t="s">
        <v>764</v>
      </c>
      <c r="D542" s="229">
        <v>20.440999999999999</v>
      </c>
      <c r="E542" s="229">
        <v>23.891999999999999</v>
      </c>
      <c r="F542" s="229">
        <v>21.7805</v>
      </c>
      <c r="G542" s="229">
        <v>23.822199999999999</v>
      </c>
      <c r="H542" s="197">
        <v>24.13</v>
      </c>
      <c r="I542" s="197">
        <v>23.72</v>
      </c>
      <c r="J542" s="692"/>
      <c r="K542" s="692"/>
      <c r="L542" s="692"/>
      <c r="M542" s="692"/>
      <c r="N542" s="692"/>
      <c r="O542" s="229" t="s">
        <v>82</v>
      </c>
      <c r="P542" s="692"/>
      <c r="Q542" s="692"/>
      <c r="R542" s="692"/>
      <c r="S542" s="306">
        <v>15150</v>
      </c>
      <c r="T542" s="115"/>
      <c r="U542" s="115"/>
      <c r="V542" s="236"/>
      <c r="W542" s="230">
        <v>811.9</v>
      </c>
      <c r="X542" s="230">
        <v>604.79999999999995</v>
      </c>
      <c r="Y542" s="115"/>
      <c r="Z542" s="162" t="s">
        <v>773</v>
      </c>
      <c r="AA542" s="164" t="s">
        <v>774</v>
      </c>
      <c r="AB542" s="164">
        <v>309.60000000000002</v>
      </c>
      <c r="AC542" s="164">
        <v>305.3</v>
      </c>
      <c r="AD542" s="164">
        <v>305.10000000000002</v>
      </c>
      <c r="AE542" s="164">
        <v>306.2</v>
      </c>
      <c r="AF542" s="164">
        <v>309.60000000000002</v>
      </c>
      <c r="AG542" s="164">
        <v>304.5</v>
      </c>
      <c r="AH542" s="164">
        <v>306</v>
      </c>
    </row>
    <row r="543" spans="1:34" ht="20.45">
      <c r="A543" s="152">
        <v>45001</v>
      </c>
      <c r="B543" s="152"/>
      <c r="C543" s="700" t="s">
        <v>764</v>
      </c>
      <c r="D543" s="229">
        <v>20.440999999999999</v>
      </c>
      <c r="E543" s="229">
        <v>23.891999999999999</v>
      </c>
      <c r="F543" s="229">
        <v>21.7805</v>
      </c>
      <c r="G543" s="229">
        <v>23.822199999999999</v>
      </c>
      <c r="H543" s="197">
        <v>24.13</v>
      </c>
      <c r="I543" s="197">
        <v>23.72</v>
      </c>
      <c r="J543" s="692"/>
      <c r="K543" s="692"/>
      <c r="L543" s="692"/>
      <c r="M543" s="692"/>
      <c r="N543" s="692"/>
      <c r="O543" s="229" t="s">
        <v>82</v>
      </c>
      <c r="P543" s="692"/>
      <c r="Q543" s="692"/>
      <c r="R543" s="692"/>
      <c r="S543" s="306">
        <v>20224</v>
      </c>
      <c r="T543" s="115"/>
      <c r="U543" s="115"/>
      <c r="V543" s="236"/>
      <c r="W543" s="230">
        <v>811.7</v>
      </c>
      <c r="X543" s="230">
        <v>602.6</v>
      </c>
      <c r="Y543" s="115"/>
      <c r="AA543" s="164" t="s">
        <v>775</v>
      </c>
      <c r="AB543" s="164">
        <v>308.39999999999998</v>
      </c>
      <c r="AC543" s="164">
        <v>305.39999999999998</v>
      </c>
      <c r="AD543" s="164">
        <v>305.2</v>
      </c>
      <c r="AE543" s="164">
        <v>306.2</v>
      </c>
      <c r="AF543" s="164">
        <v>310</v>
      </c>
      <c r="AG543" s="164">
        <v>304.5</v>
      </c>
      <c r="AH543" s="164">
        <v>306.3</v>
      </c>
    </row>
    <row r="544" spans="1:34" ht="20.45">
      <c r="A544" s="152">
        <v>45001</v>
      </c>
      <c r="B544" s="152"/>
      <c r="C544" s="700" t="s">
        <v>764</v>
      </c>
      <c r="D544" s="229">
        <v>20.440999999999999</v>
      </c>
      <c r="E544" s="229">
        <v>23.891999999999999</v>
      </c>
      <c r="F544" s="229">
        <v>21.7805</v>
      </c>
      <c r="G544" s="229">
        <v>23.822199999999999</v>
      </c>
      <c r="H544" s="197">
        <v>24.13</v>
      </c>
      <c r="I544" s="197">
        <v>23.72</v>
      </c>
      <c r="J544" s="692"/>
      <c r="K544" s="692"/>
      <c r="L544" s="692"/>
      <c r="M544" s="692"/>
      <c r="N544" s="692"/>
      <c r="O544" s="229" t="s">
        <v>82</v>
      </c>
      <c r="P544" s="692"/>
      <c r="Q544" s="692"/>
      <c r="R544" s="692"/>
      <c r="S544" s="306">
        <v>20956</v>
      </c>
      <c r="T544" s="115"/>
      <c r="U544" s="115"/>
      <c r="V544" s="236"/>
      <c r="W544" s="230">
        <v>810.9</v>
      </c>
      <c r="X544" s="230">
        <v>600.6</v>
      </c>
      <c r="Y544" s="115"/>
      <c r="AA544" s="164" t="s">
        <v>776</v>
      </c>
      <c r="AB544" s="164">
        <v>308.3</v>
      </c>
      <c r="AC544" s="164">
        <v>305.5</v>
      </c>
      <c r="AD544" s="164">
        <v>305.2</v>
      </c>
      <c r="AE544" s="164">
        <v>306.10000000000002</v>
      </c>
      <c r="AF544" s="164">
        <v>310.2</v>
      </c>
      <c r="AG544" s="164">
        <v>304.5</v>
      </c>
      <c r="AH544" s="164">
        <v>306.39999999999998</v>
      </c>
    </row>
    <row r="545" spans="1:34" ht="20.45">
      <c r="A545" s="152">
        <v>45001</v>
      </c>
      <c r="B545" s="152"/>
      <c r="C545" s="700" t="s">
        <v>764</v>
      </c>
      <c r="D545" s="229">
        <v>20.440999999999999</v>
      </c>
      <c r="E545" s="229">
        <v>23.891999999999999</v>
      </c>
      <c r="F545" s="229">
        <v>21.7805</v>
      </c>
      <c r="G545" s="229">
        <v>23.822199999999999</v>
      </c>
      <c r="H545" s="197">
        <v>24.13</v>
      </c>
      <c r="I545" s="197">
        <v>23.72</v>
      </c>
      <c r="J545" s="692"/>
      <c r="K545" s="692"/>
      <c r="L545" s="692"/>
      <c r="M545" s="692"/>
      <c r="N545" s="692"/>
      <c r="O545" s="229" t="s">
        <v>82</v>
      </c>
      <c r="P545" s="692"/>
      <c r="Q545" s="692"/>
      <c r="R545" s="692"/>
      <c r="S545" s="306">
        <v>21932</v>
      </c>
      <c r="T545" s="115"/>
      <c r="U545" s="115"/>
      <c r="V545" s="236"/>
      <c r="W545" s="230">
        <v>810.7</v>
      </c>
      <c r="X545" s="230">
        <v>598.70000000000005</v>
      </c>
      <c r="Y545" s="115"/>
      <c r="AA545" s="164" t="s">
        <v>777</v>
      </c>
      <c r="AB545" s="164">
        <v>308.10000000000002</v>
      </c>
      <c r="AC545" s="164">
        <v>305.5</v>
      </c>
      <c r="AD545" s="164">
        <v>305.3</v>
      </c>
      <c r="AE545" s="164">
        <v>306.10000000000002</v>
      </c>
      <c r="AF545" s="164">
        <v>310.2</v>
      </c>
      <c r="AG545" s="164">
        <v>304.5</v>
      </c>
      <c r="AH545" s="164">
        <v>306.39999999999998</v>
      </c>
    </row>
    <row r="546" spans="1:34" ht="20.45">
      <c r="A546" s="152">
        <v>45001</v>
      </c>
      <c r="B546" s="152"/>
      <c r="C546" s="700" t="s">
        <v>764</v>
      </c>
      <c r="D546" s="229">
        <v>20.440999999999999</v>
      </c>
      <c r="E546" s="229">
        <v>23.891999999999999</v>
      </c>
      <c r="F546" s="229">
        <v>21.7805</v>
      </c>
      <c r="G546" s="229">
        <v>23.822199999999999</v>
      </c>
      <c r="H546" s="197">
        <v>24.13</v>
      </c>
      <c r="I546" s="197">
        <v>23.72</v>
      </c>
      <c r="J546" s="692"/>
      <c r="K546" s="692"/>
      <c r="L546" s="692"/>
      <c r="M546" s="692"/>
      <c r="N546" s="692"/>
      <c r="O546" s="229" t="s">
        <v>82</v>
      </c>
      <c r="P546" s="692"/>
      <c r="Q546" s="692"/>
      <c r="R546" s="692"/>
      <c r="S546" s="306">
        <v>22925</v>
      </c>
      <c r="T546" s="115"/>
      <c r="U546" s="115"/>
      <c r="V546" s="236"/>
      <c r="W546" s="230">
        <v>810.5</v>
      </c>
      <c r="X546" s="230">
        <v>597.6</v>
      </c>
      <c r="Y546" s="115"/>
      <c r="AA546" s="164" t="s">
        <v>778</v>
      </c>
      <c r="AB546" s="164">
        <v>308</v>
      </c>
      <c r="AC546" s="164">
        <v>305.5</v>
      </c>
      <c r="AD546" s="164">
        <v>305.3</v>
      </c>
      <c r="AE546" s="164">
        <v>306</v>
      </c>
      <c r="AF546" s="164">
        <v>310.3</v>
      </c>
      <c r="AG546" s="164">
        <v>304.5</v>
      </c>
      <c r="AH546" s="164">
        <v>306.39999999999998</v>
      </c>
    </row>
    <row r="547" spans="1:34" ht="20.45">
      <c r="A547" s="152">
        <v>45001</v>
      </c>
      <c r="B547" s="152"/>
      <c r="C547" s="700" t="s">
        <v>764</v>
      </c>
      <c r="D547" s="229">
        <v>20.440999999999999</v>
      </c>
      <c r="E547" s="229">
        <v>23.891999999999999</v>
      </c>
      <c r="F547" s="229">
        <v>21.7805</v>
      </c>
      <c r="G547" s="229">
        <v>23.822199999999999</v>
      </c>
      <c r="H547" s="197">
        <v>24.13</v>
      </c>
      <c r="I547" s="197">
        <v>23.72</v>
      </c>
      <c r="J547" s="692"/>
      <c r="K547" s="692"/>
      <c r="L547" s="692"/>
      <c r="M547" s="692"/>
      <c r="N547" s="692"/>
      <c r="O547" s="229" t="s">
        <v>82</v>
      </c>
      <c r="P547" s="692"/>
      <c r="Q547" s="692"/>
      <c r="R547" s="692"/>
      <c r="S547" s="306">
        <v>24003</v>
      </c>
      <c r="T547" s="115"/>
      <c r="U547" s="115"/>
      <c r="V547" s="236"/>
      <c r="W547" s="230">
        <v>809.8</v>
      </c>
      <c r="X547" s="230">
        <v>596.70000000000005</v>
      </c>
      <c r="Y547" s="115"/>
      <c r="Z547" s="163" t="s">
        <v>779</v>
      </c>
      <c r="AA547" s="164" t="s">
        <v>780</v>
      </c>
      <c r="AB547" s="164">
        <v>307.8</v>
      </c>
      <c r="AC547" s="164">
        <v>305.5</v>
      </c>
      <c r="AD547" s="164">
        <v>305.39999999999998</v>
      </c>
      <c r="AE547" s="164">
        <v>306</v>
      </c>
      <c r="AF547" s="164">
        <v>310.3</v>
      </c>
      <c r="AG547" s="164">
        <v>304.60000000000002</v>
      </c>
      <c r="AH547" s="164">
        <v>306.39999999999998</v>
      </c>
    </row>
    <row r="548" spans="1:34" ht="20.45">
      <c r="A548" s="152">
        <v>45001</v>
      </c>
      <c r="B548" s="152"/>
      <c r="C548" s="700" t="s">
        <v>764</v>
      </c>
      <c r="D548" s="229">
        <v>20.440999999999999</v>
      </c>
      <c r="E548" s="229">
        <v>23.891999999999999</v>
      </c>
      <c r="F548" s="229">
        <v>21.7805</v>
      </c>
      <c r="G548" s="229">
        <v>23.822199999999999</v>
      </c>
      <c r="H548" s="197">
        <v>24.13</v>
      </c>
      <c r="I548" s="197">
        <v>23.72</v>
      </c>
      <c r="J548" s="692"/>
      <c r="K548" s="692"/>
      <c r="L548" s="692"/>
      <c r="M548" s="692"/>
      <c r="N548" s="692"/>
      <c r="O548" s="229" t="s">
        <v>82</v>
      </c>
      <c r="P548" s="692"/>
      <c r="Q548" s="692"/>
      <c r="R548" s="692"/>
      <c r="S548" s="306">
        <v>35344</v>
      </c>
      <c r="T548" s="115"/>
      <c r="U548" s="115"/>
      <c r="V548" s="236"/>
      <c r="W548" s="230">
        <v>809.9</v>
      </c>
      <c r="X548" s="230">
        <v>596.6</v>
      </c>
      <c r="Y548" s="115"/>
      <c r="Z548" s="163" t="s">
        <v>781</v>
      </c>
      <c r="AA548" s="164" t="s">
        <v>782</v>
      </c>
      <c r="AB548" s="164">
        <v>307.2</v>
      </c>
      <c r="AC548" s="164">
        <v>305.60000000000002</v>
      </c>
      <c r="AD548" s="164">
        <v>305.39999999999998</v>
      </c>
      <c r="AE548" s="164">
        <v>305.7</v>
      </c>
      <c r="AF548" s="164">
        <v>305.2</v>
      </c>
      <c r="AG548" s="164">
        <v>304.60000000000002</v>
      </c>
      <c r="AH548" s="164">
        <v>305.5</v>
      </c>
    </row>
    <row r="549" spans="1:34" ht="20.45">
      <c r="A549" s="152">
        <v>45001</v>
      </c>
      <c r="B549" s="152"/>
      <c r="C549" s="700" t="s">
        <v>764</v>
      </c>
      <c r="D549" s="229">
        <v>20.440999999999999</v>
      </c>
      <c r="E549" s="229">
        <v>23.891999999999999</v>
      </c>
      <c r="F549" s="229">
        <v>21.7805</v>
      </c>
      <c r="G549" s="229">
        <v>23.822199999999999</v>
      </c>
      <c r="H549" s="197">
        <v>24.13</v>
      </c>
      <c r="I549" s="197">
        <v>23.72</v>
      </c>
      <c r="J549" s="692"/>
      <c r="K549" s="692"/>
      <c r="L549" s="692"/>
      <c r="M549" s="692"/>
      <c r="N549" s="692"/>
      <c r="O549" s="229" t="s">
        <v>82</v>
      </c>
      <c r="P549" s="692"/>
      <c r="Q549" s="692"/>
      <c r="R549" s="692"/>
      <c r="S549" s="306">
        <v>35928</v>
      </c>
      <c r="T549" s="115"/>
      <c r="U549" s="115"/>
      <c r="V549" s="236"/>
      <c r="W549" s="230">
        <v>809.9</v>
      </c>
      <c r="X549" s="230">
        <v>596.70000000000005</v>
      </c>
      <c r="Y549" s="115"/>
      <c r="AA549" s="164" t="s">
        <v>783</v>
      </c>
      <c r="AB549" s="164">
        <v>307.10000000000002</v>
      </c>
      <c r="AC549" s="164">
        <v>305.60000000000002</v>
      </c>
      <c r="AD549" s="164">
        <v>305.5</v>
      </c>
      <c r="AE549" s="164">
        <v>305.7</v>
      </c>
      <c r="AF549" s="164">
        <v>306.8</v>
      </c>
      <c r="AG549" s="164">
        <v>304.5</v>
      </c>
      <c r="AH549" s="164">
        <v>305.5</v>
      </c>
    </row>
    <row r="550" spans="1:34" ht="20.45">
      <c r="A550" s="152">
        <v>45001</v>
      </c>
      <c r="B550" s="152"/>
      <c r="C550" s="700" t="s">
        <v>764</v>
      </c>
      <c r="D550" s="229">
        <v>20.440999999999999</v>
      </c>
      <c r="E550" s="229">
        <v>23.891999999999999</v>
      </c>
      <c r="F550" s="229">
        <v>21.7805</v>
      </c>
      <c r="G550" s="229">
        <v>23.822199999999999</v>
      </c>
      <c r="H550" s="197">
        <v>24.13</v>
      </c>
      <c r="I550" s="197">
        <v>23.72</v>
      </c>
      <c r="J550" s="692"/>
      <c r="K550" s="692"/>
      <c r="L550" s="692"/>
      <c r="M550" s="692"/>
      <c r="N550" s="692"/>
      <c r="O550" s="229" t="s">
        <v>82</v>
      </c>
      <c r="P550" s="692"/>
      <c r="Q550" s="692"/>
      <c r="R550" s="692"/>
      <c r="S550" s="306">
        <v>40843</v>
      </c>
      <c r="T550" s="115"/>
      <c r="U550" s="115"/>
      <c r="V550" s="115"/>
      <c r="W550" s="230">
        <v>809.7</v>
      </c>
      <c r="X550" s="230">
        <v>597.5</v>
      </c>
      <c r="Y550" s="115"/>
      <c r="Z550" s="163" t="s">
        <v>784</v>
      </c>
      <c r="AA550" s="223" t="s">
        <v>785</v>
      </c>
      <c r="AB550" s="164">
        <v>307.10000000000002</v>
      </c>
      <c r="AC550" s="164">
        <v>305.60000000000002</v>
      </c>
      <c r="AD550" s="164">
        <v>305.2</v>
      </c>
      <c r="AE550" s="164">
        <v>305.7</v>
      </c>
      <c r="AF550" s="164">
        <v>308.39999999999998</v>
      </c>
      <c r="AG550" s="164">
        <v>304.5</v>
      </c>
      <c r="AH550" s="164">
        <v>305.60000000000002</v>
      </c>
    </row>
    <row r="551" spans="1:34" ht="20.45">
      <c r="A551" s="152">
        <v>45001</v>
      </c>
      <c r="B551" s="152"/>
      <c r="C551" s="700" t="s">
        <v>764</v>
      </c>
      <c r="D551" s="229">
        <v>20.440999999999999</v>
      </c>
      <c r="E551" s="229">
        <v>23.891999999999999</v>
      </c>
      <c r="F551" s="229">
        <v>21.7805</v>
      </c>
      <c r="G551" s="229">
        <v>23.822199999999999</v>
      </c>
      <c r="H551" s="197">
        <v>24.13</v>
      </c>
      <c r="I551" s="197">
        <v>23.72</v>
      </c>
      <c r="J551" s="692"/>
      <c r="K551" s="692"/>
      <c r="L551" s="692"/>
      <c r="M551" s="692"/>
      <c r="N551" s="692"/>
      <c r="O551" s="229" t="s">
        <v>82</v>
      </c>
      <c r="P551" s="692"/>
      <c r="Q551" s="692"/>
      <c r="R551" s="692"/>
      <c r="S551" s="306">
        <v>41849</v>
      </c>
      <c r="T551" s="115"/>
      <c r="U551" s="115"/>
      <c r="V551" s="115"/>
      <c r="W551" s="230">
        <v>808.7</v>
      </c>
      <c r="X551" s="230">
        <v>599.6</v>
      </c>
      <c r="Y551" s="115"/>
      <c r="AA551" s="164" t="s">
        <v>786</v>
      </c>
      <c r="AB551" s="164">
        <v>307.2</v>
      </c>
      <c r="AC551" s="164">
        <v>305.60000000000002</v>
      </c>
      <c r="AD551" s="164">
        <v>305.39999999999998</v>
      </c>
      <c r="AE551" s="164">
        <v>305.8</v>
      </c>
      <c r="AF551" s="164">
        <v>309.2</v>
      </c>
      <c r="AG551" s="164">
        <v>304.60000000000002</v>
      </c>
      <c r="AH551" s="164">
        <v>305.7</v>
      </c>
    </row>
    <row r="552" spans="1:34" ht="20.45">
      <c r="A552" s="152">
        <v>45001</v>
      </c>
      <c r="B552" s="152"/>
      <c r="C552" s="700" t="s">
        <v>764</v>
      </c>
      <c r="D552" s="229">
        <v>20.440999999999999</v>
      </c>
      <c r="E552" s="229">
        <v>23.891999999999999</v>
      </c>
      <c r="F552" s="229">
        <v>21.7805</v>
      </c>
      <c r="G552" s="229">
        <v>23.822199999999999</v>
      </c>
      <c r="H552" s="197">
        <v>24.13</v>
      </c>
      <c r="I552" s="197">
        <v>23.72</v>
      </c>
      <c r="J552" s="692"/>
      <c r="K552" s="692"/>
      <c r="L552" s="692"/>
      <c r="M552" s="692"/>
      <c r="N552" s="692"/>
      <c r="O552" s="229" t="s">
        <v>82</v>
      </c>
      <c r="P552" s="692"/>
      <c r="Q552" s="692"/>
      <c r="R552" s="692"/>
      <c r="S552" s="306">
        <v>42916</v>
      </c>
      <c r="T552" s="115"/>
      <c r="U552" s="115"/>
      <c r="V552" s="115"/>
      <c r="W552" s="230">
        <v>808.8</v>
      </c>
      <c r="X552" s="230">
        <v>602.6</v>
      </c>
      <c r="Y552" s="115"/>
      <c r="AA552" s="164" t="s">
        <v>787</v>
      </c>
      <c r="AB552" s="164">
        <v>307.39999999999998</v>
      </c>
      <c r="AC552" s="164">
        <v>305.7</v>
      </c>
      <c r="AD552" s="164">
        <v>305.5</v>
      </c>
      <c r="AE552" s="164">
        <v>306</v>
      </c>
      <c r="AF552" s="164">
        <v>309.7</v>
      </c>
      <c r="AG552" s="164">
        <v>304.7</v>
      </c>
      <c r="AH552" s="164">
        <v>305.89999999999998</v>
      </c>
    </row>
    <row r="553" spans="1:34" ht="20.45">
      <c r="A553" s="152">
        <v>45001</v>
      </c>
      <c r="B553" s="152"/>
      <c r="C553" s="700" t="s">
        <v>764</v>
      </c>
      <c r="D553" s="229">
        <v>20.440999999999999</v>
      </c>
      <c r="E553" s="229">
        <v>23.891999999999999</v>
      </c>
      <c r="F553" s="229">
        <v>21.7805</v>
      </c>
      <c r="G553" s="229">
        <v>23.822199999999999</v>
      </c>
      <c r="H553" s="197">
        <v>24.13</v>
      </c>
      <c r="I553" s="197">
        <v>23.72</v>
      </c>
      <c r="J553" s="692"/>
      <c r="K553" s="692"/>
      <c r="L553" s="692"/>
      <c r="M553" s="692"/>
      <c r="N553" s="692"/>
      <c r="O553" s="229" t="s">
        <v>82</v>
      </c>
      <c r="P553" s="692"/>
      <c r="Q553" s="692"/>
      <c r="R553" s="692"/>
      <c r="S553" s="306">
        <v>43925</v>
      </c>
      <c r="T553" s="115"/>
      <c r="U553" s="115"/>
      <c r="V553" s="115"/>
      <c r="W553" s="230">
        <v>809</v>
      </c>
      <c r="X553" s="230">
        <v>603.9</v>
      </c>
      <c r="Y553" s="115"/>
      <c r="Z553" s="163" t="s">
        <v>788</v>
      </c>
      <c r="AA553" s="164" t="s">
        <v>789</v>
      </c>
      <c r="AB553" s="164">
        <v>307.7</v>
      </c>
      <c r="AC553" s="164">
        <v>305.8</v>
      </c>
      <c r="AD553" s="164">
        <v>305.60000000000002</v>
      </c>
      <c r="AE553" s="164">
        <v>307.2</v>
      </c>
      <c r="AF553" s="164">
        <v>310</v>
      </c>
      <c r="AG553" s="164">
        <v>304.8</v>
      </c>
      <c r="AH553" s="164">
        <v>306.10000000000002</v>
      </c>
    </row>
    <row r="554" spans="1:34" ht="20.45">
      <c r="A554" s="152">
        <v>45001</v>
      </c>
      <c r="B554" s="152"/>
      <c r="C554" s="700" t="s">
        <v>764</v>
      </c>
      <c r="D554" s="229">
        <v>20.440999999999999</v>
      </c>
      <c r="E554" s="229">
        <v>23.891999999999999</v>
      </c>
      <c r="F554" s="229">
        <v>21.7805</v>
      </c>
      <c r="G554" s="229">
        <v>23.822199999999999</v>
      </c>
      <c r="H554" s="197">
        <v>24.13</v>
      </c>
      <c r="I554" s="197">
        <v>23.72</v>
      </c>
      <c r="J554" s="692"/>
      <c r="K554" s="692"/>
      <c r="L554" s="692"/>
      <c r="M554" s="692"/>
      <c r="N554" s="692"/>
      <c r="O554" s="229" t="s">
        <v>82</v>
      </c>
      <c r="P554" s="692"/>
      <c r="Q554" s="692"/>
      <c r="R554" s="692"/>
      <c r="S554" s="306">
        <v>44836</v>
      </c>
      <c r="T554" s="115"/>
      <c r="U554" s="115"/>
      <c r="V554" s="115"/>
      <c r="W554" s="230">
        <v>809.8</v>
      </c>
      <c r="X554" s="230">
        <v>604.6</v>
      </c>
      <c r="Y554" s="115"/>
      <c r="AA554" s="164" t="s">
        <v>790</v>
      </c>
      <c r="AB554" s="164">
        <v>308</v>
      </c>
      <c r="AC554" s="164">
        <v>305.8</v>
      </c>
      <c r="AD554" s="164">
        <v>305.60000000000002</v>
      </c>
      <c r="AE554" s="164">
        <v>306.5</v>
      </c>
      <c r="AF554" s="164">
        <v>308.5</v>
      </c>
      <c r="AG554" s="164">
        <v>304.89999999999998</v>
      </c>
      <c r="AH554" s="164">
        <v>306.3</v>
      </c>
    </row>
    <row r="555" spans="1:34" ht="20.45">
      <c r="A555" s="152">
        <v>45001</v>
      </c>
      <c r="B555" s="152"/>
      <c r="C555" s="700" t="s">
        <v>764</v>
      </c>
      <c r="D555" s="229">
        <v>20.440999999999999</v>
      </c>
      <c r="E555" s="229">
        <v>23.891999999999999</v>
      </c>
      <c r="F555" s="229">
        <v>21.7805</v>
      </c>
      <c r="G555" s="229">
        <v>23.822199999999999</v>
      </c>
      <c r="H555" s="197">
        <v>24.13</v>
      </c>
      <c r="I555" s="197">
        <v>23.72</v>
      </c>
      <c r="J555" s="692"/>
      <c r="K555" s="692"/>
      <c r="L555" s="692"/>
      <c r="M555" s="692"/>
      <c r="N555" s="692"/>
      <c r="O555" s="229" t="s">
        <v>82</v>
      </c>
      <c r="P555" s="692"/>
      <c r="Q555" s="692"/>
      <c r="R555" s="692"/>
      <c r="S555" s="306">
        <v>45806</v>
      </c>
      <c r="T555" s="115"/>
      <c r="U555" s="115"/>
      <c r="V555" s="115"/>
      <c r="W555" s="230">
        <v>810</v>
      </c>
      <c r="X555" s="230">
        <v>605.4</v>
      </c>
      <c r="Y555" s="115"/>
      <c r="AA555" s="164" t="s">
        <v>791</v>
      </c>
      <c r="AB555" s="164">
        <v>308.3</v>
      </c>
      <c r="AC555" s="164">
        <v>305.89999999999998</v>
      </c>
      <c r="AD555" s="164">
        <v>305.7</v>
      </c>
      <c r="AE555" s="164">
        <v>306.60000000000002</v>
      </c>
      <c r="AF555" s="164">
        <v>309.5</v>
      </c>
      <c r="AG555" s="164">
        <v>305</v>
      </c>
      <c r="AH555" s="164">
        <v>306.39999999999998</v>
      </c>
    </row>
    <row r="556" spans="1:34" ht="20.45">
      <c r="A556" s="152">
        <v>45001</v>
      </c>
      <c r="B556" s="152"/>
      <c r="C556" s="700" t="s">
        <v>764</v>
      </c>
      <c r="D556" s="229">
        <v>20.440999999999999</v>
      </c>
      <c r="E556" s="229">
        <v>23.891999999999999</v>
      </c>
      <c r="F556" s="229">
        <v>21.7805</v>
      </c>
      <c r="G556" s="229">
        <v>23.822199999999999</v>
      </c>
      <c r="H556" s="197">
        <v>24.13</v>
      </c>
      <c r="I556" s="197">
        <v>23.72</v>
      </c>
      <c r="J556" s="692"/>
      <c r="K556" s="692"/>
      <c r="L556" s="692"/>
      <c r="M556" s="692"/>
      <c r="N556" s="692"/>
      <c r="O556" s="229" t="s">
        <v>82</v>
      </c>
      <c r="P556" s="692"/>
      <c r="Q556" s="692"/>
      <c r="R556" s="692"/>
      <c r="S556" s="306">
        <v>50835</v>
      </c>
      <c r="T556" s="115"/>
      <c r="U556" s="115"/>
      <c r="V556" s="115"/>
      <c r="W556" s="230">
        <v>810.6</v>
      </c>
      <c r="X556" s="230">
        <v>605.6</v>
      </c>
      <c r="Y556" s="115"/>
      <c r="AA556" s="164" t="s">
        <v>792</v>
      </c>
      <c r="AB556" s="164">
        <v>308.60000000000002</v>
      </c>
      <c r="AC556" s="164">
        <v>306</v>
      </c>
      <c r="AD556" s="164">
        <v>305.7</v>
      </c>
      <c r="AE556" s="164">
        <v>306.8</v>
      </c>
      <c r="AF556" s="164">
        <v>310.3</v>
      </c>
      <c r="AG556" s="164">
        <v>305.10000000000002</v>
      </c>
      <c r="AH556" s="164">
        <v>306.60000000000002</v>
      </c>
    </row>
    <row r="557" spans="1:34" ht="20.45">
      <c r="A557" s="152">
        <v>45001</v>
      </c>
      <c r="B557" s="152"/>
      <c r="C557" s="700" t="s">
        <v>764</v>
      </c>
      <c r="D557" s="229">
        <v>20.440999999999999</v>
      </c>
      <c r="E557" s="229">
        <v>23.891999999999999</v>
      </c>
      <c r="F557" s="229">
        <v>21.7805</v>
      </c>
      <c r="G557" s="229">
        <v>23.822199999999999</v>
      </c>
      <c r="H557" s="197">
        <v>24.13</v>
      </c>
      <c r="I557" s="197">
        <v>23.72</v>
      </c>
      <c r="J557" s="692"/>
      <c r="K557" s="692"/>
      <c r="L557" s="692"/>
      <c r="M557" s="692"/>
      <c r="N557" s="692"/>
      <c r="O557" s="229" t="s">
        <v>82</v>
      </c>
      <c r="P557" s="692"/>
      <c r="Q557" s="692"/>
      <c r="R557" s="692"/>
      <c r="S557" s="306">
        <v>52001</v>
      </c>
      <c r="T557" s="115"/>
      <c r="U557" s="115"/>
      <c r="V557" s="115"/>
      <c r="W557" s="230">
        <v>810</v>
      </c>
      <c r="X557" s="230">
        <v>604.70000000000005</v>
      </c>
      <c r="Y557" s="115"/>
      <c r="AA557" s="164" t="s">
        <v>793</v>
      </c>
      <c r="AB557" s="164">
        <v>308.89999999999998</v>
      </c>
      <c r="AC557" s="164">
        <v>306.10000000000002</v>
      </c>
      <c r="AD557" s="164">
        <v>305.89999999999998</v>
      </c>
      <c r="AE557" s="164">
        <v>306.10000000000002</v>
      </c>
      <c r="AF557" s="164">
        <v>308.7</v>
      </c>
      <c r="AG557" s="164">
        <v>305.2</v>
      </c>
      <c r="AH557" s="164">
        <v>306.8</v>
      </c>
    </row>
    <row r="558" spans="1:34" ht="20.45">
      <c r="A558" s="152">
        <v>45001</v>
      </c>
      <c r="B558" s="152"/>
      <c r="C558" s="700" t="s">
        <v>764</v>
      </c>
      <c r="D558" s="229">
        <v>20.440999999999999</v>
      </c>
      <c r="E558" s="229">
        <v>23.891999999999999</v>
      </c>
      <c r="F558" s="229">
        <v>21.7805</v>
      </c>
      <c r="G558" s="229">
        <v>23.822199999999999</v>
      </c>
      <c r="H558" s="197">
        <v>24.13</v>
      </c>
      <c r="I558" s="197">
        <v>23.72</v>
      </c>
      <c r="J558" s="692"/>
      <c r="K558" s="692"/>
      <c r="L558" s="692"/>
      <c r="M558" s="692"/>
      <c r="N558" s="692"/>
      <c r="O558" s="229" t="s">
        <v>82</v>
      </c>
      <c r="P558" s="692"/>
      <c r="Q558" s="692"/>
      <c r="R558" s="692"/>
      <c r="S558" s="306">
        <v>52830</v>
      </c>
      <c r="T558" s="115"/>
      <c r="U558" s="115"/>
      <c r="V558" s="115"/>
      <c r="W558" s="230">
        <v>810.7</v>
      </c>
      <c r="X558" s="230">
        <v>604.79999999999995</v>
      </c>
      <c r="Y558" s="115"/>
      <c r="AA558" s="237">
        <v>0.64583333333333337</v>
      </c>
      <c r="AB558" s="164">
        <v>309</v>
      </c>
      <c r="AC558" s="164">
        <v>306.2</v>
      </c>
      <c r="AD558" s="164">
        <v>305.89999999999998</v>
      </c>
      <c r="AE558" s="164">
        <v>307.10000000000002</v>
      </c>
      <c r="AF558" s="164">
        <v>308.3</v>
      </c>
      <c r="AG558" s="164">
        <v>305.3</v>
      </c>
      <c r="AH558" s="164">
        <v>306.8</v>
      </c>
    </row>
    <row r="559" spans="1:34" ht="20.45">
      <c r="A559" s="152">
        <v>45001</v>
      </c>
      <c r="B559" s="152"/>
      <c r="C559" s="700" t="s">
        <v>764</v>
      </c>
      <c r="D559" s="229">
        <v>20.440999999999999</v>
      </c>
      <c r="E559" s="229">
        <v>23.891999999999999</v>
      </c>
      <c r="F559" s="229">
        <v>21.7805</v>
      </c>
      <c r="G559" s="229">
        <v>23.822199999999999</v>
      </c>
      <c r="H559" s="197">
        <v>24.13</v>
      </c>
      <c r="I559" s="197">
        <v>23.72</v>
      </c>
      <c r="J559" s="692"/>
      <c r="K559" s="692"/>
      <c r="L559" s="692"/>
      <c r="M559" s="692"/>
      <c r="N559" s="692"/>
      <c r="O559" s="229" t="s">
        <v>82</v>
      </c>
      <c r="P559" s="692"/>
      <c r="Q559" s="692"/>
      <c r="R559" s="692"/>
      <c r="S559" s="306">
        <v>53951</v>
      </c>
      <c r="T559" s="115"/>
      <c r="U559" s="115"/>
      <c r="V559" s="115"/>
      <c r="W559" s="230">
        <v>810.9</v>
      </c>
      <c r="X559" s="230">
        <v>605.4</v>
      </c>
      <c r="Y559" s="115"/>
      <c r="AA559" s="223">
        <v>0.65277777777777779</v>
      </c>
      <c r="AB559" s="164">
        <v>309.2</v>
      </c>
      <c r="AC559" s="164">
        <v>306.2</v>
      </c>
      <c r="AD559" s="164">
        <v>306</v>
      </c>
      <c r="AE559" s="164">
        <v>307.2</v>
      </c>
      <c r="AF559" s="164">
        <v>307.60000000000002</v>
      </c>
      <c r="AG559" s="164">
        <v>305.3</v>
      </c>
      <c r="AH559" s="164">
        <v>307</v>
      </c>
    </row>
    <row r="560" spans="1:34">
      <c r="A560" s="152">
        <v>45001</v>
      </c>
      <c r="B560" s="152"/>
      <c r="C560" s="700" t="s">
        <v>27</v>
      </c>
      <c r="D560" s="229">
        <v>20.440999999999999</v>
      </c>
      <c r="E560" s="229">
        <v>23.891999999999999</v>
      </c>
      <c r="F560" s="229">
        <v>21.7805</v>
      </c>
      <c r="G560" s="229">
        <v>23.822199999999999</v>
      </c>
      <c r="H560" s="197">
        <v>24.13</v>
      </c>
      <c r="I560" s="197">
        <v>23.72</v>
      </c>
      <c r="J560" s="695"/>
      <c r="K560" s="695"/>
      <c r="L560" s="234"/>
      <c r="M560" s="234"/>
      <c r="N560" s="234"/>
      <c r="O560" s="692"/>
      <c r="P560" s="692"/>
      <c r="Q560" s="197">
        <v>34</v>
      </c>
      <c r="R560" s="197">
        <v>4.031739</v>
      </c>
      <c r="T560" s="115"/>
      <c r="U560" s="115"/>
      <c r="V560" s="115"/>
      <c r="W560" s="115"/>
      <c r="X560" s="115"/>
      <c r="Y560" s="115"/>
      <c r="Z560" s="163" t="s">
        <v>794</v>
      </c>
    </row>
    <row r="561" spans="1:27" ht="20.45">
      <c r="A561" s="152">
        <v>45001</v>
      </c>
      <c r="B561" s="152"/>
      <c r="C561" s="700" t="s">
        <v>795</v>
      </c>
      <c r="D561" s="229">
        <v>20.440999999999999</v>
      </c>
      <c r="E561" s="229">
        <v>23.891999999999999</v>
      </c>
      <c r="F561" s="229">
        <v>21.7805</v>
      </c>
      <c r="G561" s="229">
        <v>23.822199999999999</v>
      </c>
      <c r="H561" s="229">
        <v>24.445</v>
      </c>
      <c r="I561" s="197">
        <v>23.47</v>
      </c>
      <c r="J561" s="692"/>
      <c r="K561" s="692"/>
      <c r="L561" s="692"/>
      <c r="M561" s="692"/>
      <c r="N561" s="692"/>
      <c r="O561" s="229" t="s">
        <v>82</v>
      </c>
      <c r="P561" s="692"/>
      <c r="Q561" s="692"/>
      <c r="R561" s="692"/>
      <c r="S561" s="306">
        <v>64926</v>
      </c>
      <c r="T561" s="115"/>
      <c r="U561" s="115"/>
      <c r="V561" s="115"/>
      <c r="W561" s="230">
        <v>810.9</v>
      </c>
      <c r="X561" s="230">
        <v>595.9</v>
      </c>
      <c r="Y561" s="115"/>
      <c r="AA561" s="237">
        <v>0.70138888888888884</v>
      </c>
    </row>
    <row r="562" spans="1:27" ht="20.45">
      <c r="A562" s="152">
        <v>45001</v>
      </c>
      <c r="B562" s="152"/>
      <c r="C562" s="700" t="s">
        <v>795</v>
      </c>
      <c r="D562" s="229">
        <v>20.440999999999999</v>
      </c>
      <c r="E562" s="229">
        <v>23.891999999999999</v>
      </c>
      <c r="F562" s="229">
        <v>21.7805</v>
      </c>
      <c r="G562" s="229">
        <v>23.822199999999999</v>
      </c>
      <c r="H562" s="229">
        <v>24.445</v>
      </c>
      <c r="I562" s="197">
        <v>23.47</v>
      </c>
      <c r="J562" s="692"/>
      <c r="K562" s="692"/>
      <c r="L562" s="692"/>
      <c r="M562" s="692"/>
      <c r="N562" s="692"/>
      <c r="O562" s="229" t="s">
        <v>82</v>
      </c>
      <c r="P562" s="692"/>
      <c r="Q562" s="692"/>
      <c r="R562" s="692"/>
      <c r="S562" s="306">
        <v>70056</v>
      </c>
      <c r="T562" s="115"/>
      <c r="U562" s="115"/>
      <c r="V562" s="115"/>
      <c r="W562" s="230">
        <v>810.7</v>
      </c>
      <c r="X562" s="230">
        <v>595.9</v>
      </c>
      <c r="Y562" s="115"/>
      <c r="AA562" s="237">
        <v>0.70833333333333337</v>
      </c>
    </row>
    <row r="563" spans="1:27" ht="20.45">
      <c r="A563" s="152">
        <v>45001</v>
      </c>
      <c r="B563" s="152"/>
      <c r="C563" s="700" t="s">
        <v>795</v>
      </c>
      <c r="D563" s="229">
        <v>20.440999999999999</v>
      </c>
      <c r="E563" s="229">
        <v>23.891999999999999</v>
      </c>
      <c r="F563" s="229">
        <v>21.7805</v>
      </c>
      <c r="G563" s="229">
        <v>23.822199999999999</v>
      </c>
      <c r="H563" s="229">
        <v>24.445</v>
      </c>
      <c r="I563" s="197">
        <v>23.47</v>
      </c>
      <c r="J563" s="692"/>
      <c r="K563" s="692"/>
      <c r="L563" s="692"/>
      <c r="M563" s="692"/>
      <c r="N563" s="692"/>
      <c r="O563" s="229" t="s">
        <v>60</v>
      </c>
      <c r="P563" s="692"/>
      <c r="Q563" s="692"/>
      <c r="R563" s="692"/>
      <c r="S563" s="306">
        <v>70547</v>
      </c>
      <c r="T563" s="115"/>
      <c r="U563" s="238">
        <v>-3.5000000000000001E-3</v>
      </c>
      <c r="V563" s="238">
        <v>-1.2999999999999999E-3</v>
      </c>
      <c r="W563" s="115"/>
      <c r="X563" s="115"/>
      <c r="Y563" s="115"/>
      <c r="AA563" s="237"/>
    </row>
    <row r="564" spans="1:27" ht="20.45">
      <c r="A564" s="152">
        <v>45001</v>
      </c>
      <c r="B564" s="152"/>
      <c r="C564" s="700" t="s">
        <v>795</v>
      </c>
      <c r="D564" s="229">
        <v>20.440999999999999</v>
      </c>
      <c r="E564" s="229">
        <v>23.891999999999999</v>
      </c>
      <c r="F564" s="229">
        <v>21.7805</v>
      </c>
      <c r="G564" s="229">
        <v>23.822199999999999</v>
      </c>
      <c r="H564" s="229">
        <v>24.445</v>
      </c>
      <c r="I564" s="197">
        <v>23.47</v>
      </c>
      <c r="J564" s="692"/>
      <c r="K564" s="692"/>
      <c r="L564" s="692"/>
      <c r="M564" s="692"/>
      <c r="N564" s="692"/>
      <c r="O564" s="229" t="s">
        <v>82</v>
      </c>
      <c r="P564" s="692"/>
      <c r="Q564" s="692"/>
      <c r="R564" s="692"/>
      <c r="S564" s="306">
        <v>70758</v>
      </c>
      <c r="T564" s="115"/>
      <c r="U564" s="115"/>
      <c r="V564" s="115"/>
      <c r="W564" s="230">
        <v>810.1</v>
      </c>
      <c r="X564" s="230">
        <v>595.9</v>
      </c>
      <c r="Y564" s="115"/>
      <c r="AA564" s="237">
        <v>0.71458333333333324</v>
      </c>
    </row>
    <row r="565" spans="1:27" ht="20.45">
      <c r="A565" s="152">
        <v>45001</v>
      </c>
      <c r="B565" s="152"/>
      <c r="C565" s="700" t="s">
        <v>795</v>
      </c>
      <c r="D565" s="229">
        <v>20.440999999999999</v>
      </c>
      <c r="E565" s="229">
        <v>23.891999999999999</v>
      </c>
      <c r="F565" s="229">
        <v>21.7805</v>
      </c>
      <c r="G565" s="229">
        <v>23.822199999999999</v>
      </c>
      <c r="H565" s="229">
        <v>24.445</v>
      </c>
      <c r="I565" s="197">
        <v>23.47</v>
      </c>
      <c r="J565" s="692"/>
      <c r="K565" s="692"/>
      <c r="L565" s="692"/>
      <c r="M565" s="692"/>
      <c r="N565" s="692"/>
      <c r="O565" s="229" t="s">
        <v>67</v>
      </c>
      <c r="P565" s="692"/>
      <c r="Q565" s="692"/>
      <c r="R565" s="692"/>
      <c r="S565" s="301">
        <v>73336</v>
      </c>
      <c r="T565" s="115"/>
      <c r="U565" s="115"/>
      <c r="V565" s="115"/>
      <c r="W565" s="125">
        <v>810.7</v>
      </c>
      <c r="X565" s="125">
        <v>595.79999999999995</v>
      </c>
      <c r="Y565" s="115"/>
      <c r="AA565" s="237">
        <v>0.73263888888888884</v>
      </c>
    </row>
    <row r="566" spans="1:27">
      <c r="A566" s="152">
        <v>45001</v>
      </c>
      <c r="B566" s="152"/>
      <c r="C566" s="700" t="s">
        <v>31</v>
      </c>
      <c r="D566" s="229">
        <v>20.440999999999999</v>
      </c>
      <c r="E566" s="229">
        <v>23.891999999999999</v>
      </c>
      <c r="F566" s="229">
        <v>21.7805</v>
      </c>
      <c r="G566" s="229">
        <v>23.822199999999999</v>
      </c>
      <c r="H566" s="229">
        <v>24.445</v>
      </c>
      <c r="I566" s="197">
        <v>23.47</v>
      </c>
      <c r="J566" s="197">
        <v>101.501</v>
      </c>
      <c r="K566" s="197">
        <v>125.706</v>
      </c>
      <c r="L566" s="197">
        <v>-4.0000000000000001E-3</v>
      </c>
      <c r="M566" s="197">
        <v>0.1105</v>
      </c>
      <c r="N566" s="197">
        <v>6.6299999999999998E-2</v>
      </c>
      <c r="O566" s="197" t="s">
        <v>508</v>
      </c>
      <c r="P566" s="692"/>
      <c r="Q566" s="692"/>
      <c r="R566" s="692"/>
      <c r="S566" s="301">
        <v>75813</v>
      </c>
      <c r="T566" s="115"/>
      <c r="U566" s="228">
        <v>-5.5999999999999999E-3</v>
      </c>
      <c r="V566" s="228">
        <v>8.0000000000000004E-4</v>
      </c>
      <c r="W566" s="115"/>
      <c r="X566" s="115"/>
      <c r="Y566" s="115"/>
    </row>
    <row r="567" spans="1:27">
      <c r="A567" s="152">
        <v>45001</v>
      </c>
      <c r="B567" s="152"/>
      <c r="C567" s="700" t="s">
        <v>32</v>
      </c>
      <c r="D567" s="229">
        <v>20.440999999999999</v>
      </c>
      <c r="E567" s="229">
        <v>23.891999999999999</v>
      </c>
      <c r="F567" s="229">
        <v>21.7805</v>
      </c>
      <c r="G567" s="229">
        <v>23.822199999999999</v>
      </c>
      <c r="H567" s="229">
        <v>24.445</v>
      </c>
      <c r="I567" s="197">
        <v>23.47</v>
      </c>
      <c r="J567" s="197">
        <v>88.668999999999997</v>
      </c>
      <c r="K567" s="197">
        <v>108.404</v>
      </c>
      <c r="L567" s="197">
        <v>-4.0000000000000001E-3</v>
      </c>
      <c r="M567" s="197">
        <v>0.1105</v>
      </c>
      <c r="N567" s="197">
        <v>6.6299999999999998E-2</v>
      </c>
      <c r="O567" s="199">
        <v>1137</v>
      </c>
      <c r="P567" s="692"/>
      <c r="Q567" s="692"/>
      <c r="R567" s="692"/>
      <c r="S567" s="301">
        <v>81057</v>
      </c>
      <c r="T567" s="115"/>
      <c r="U567" s="115"/>
      <c r="V567" s="115"/>
      <c r="W567" s="239">
        <v>810</v>
      </c>
      <c r="X567" s="239">
        <v>596</v>
      </c>
      <c r="Y567" s="115"/>
    </row>
    <row r="568" spans="1:27">
      <c r="A568" s="152">
        <v>45001</v>
      </c>
      <c r="B568" s="152"/>
      <c r="C568" s="700" t="s">
        <v>796</v>
      </c>
      <c r="D568" s="229">
        <v>20.440999999999999</v>
      </c>
      <c r="E568" s="229">
        <v>23.891999999999999</v>
      </c>
      <c r="F568" s="229">
        <v>21.7805</v>
      </c>
      <c r="G568" s="229">
        <v>23.822199999999999</v>
      </c>
      <c r="H568" s="229">
        <v>24.445</v>
      </c>
      <c r="I568" s="197">
        <v>23.47</v>
      </c>
      <c r="J568" s="197">
        <v>66.693600000000004</v>
      </c>
      <c r="K568" s="197">
        <v>102.3984</v>
      </c>
      <c r="L568" s="197">
        <v>0</v>
      </c>
      <c r="M568" s="197">
        <v>0.1105</v>
      </c>
      <c r="N568" s="197">
        <v>6.6299999999999998E-2</v>
      </c>
      <c r="O568" s="199">
        <v>1137</v>
      </c>
      <c r="P568" s="692"/>
      <c r="Q568" s="197">
        <v>19</v>
      </c>
      <c r="R568" s="197">
        <v>3.458936</v>
      </c>
      <c r="T568" s="115"/>
      <c r="U568" s="115"/>
      <c r="V568" s="115"/>
      <c r="W568" s="115"/>
      <c r="X568" s="115"/>
      <c r="Y568" s="115"/>
    </row>
    <row r="569" spans="1:27">
      <c r="A569" s="152">
        <v>45001</v>
      </c>
      <c r="B569" s="152"/>
      <c r="C569" s="700" t="s">
        <v>581</v>
      </c>
      <c r="D569" s="229">
        <v>20.440999999999999</v>
      </c>
      <c r="E569" s="229">
        <v>23.891999999999999</v>
      </c>
      <c r="F569" s="229">
        <v>21.7805</v>
      </c>
      <c r="G569" s="229">
        <v>23.822199999999999</v>
      </c>
      <c r="H569" s="229">
        <v>24.445</v>
      </c>
      <c r="I569" s="197">
        <v>23.47</v>
      </c>
      <c r="J569" s="197">
        <v>92.905000000000001</v>
      </c>
      <c r="K569" s="197">
        <v>144.90199999999999</v>
      </c>
      <c r="L569" s="197">
        <v>0</v>
      </c>
      <c r="M569" s="197">
        <v>0.1105</v>
      </c>
      <c r="N569" s="197">
        <v>6.6299999999999998E-2</v>
      </c>
      <c r="O569" s="199">
        <v>1137</v>
      </c>
      <c r="P569" s="692"/>
      <c r="Q569" s="197">
        <v>10</v>
      </c>
      <c r="R569" s="197">
        <v>3.4670190000000001</v>
      </c>
      <c r="T569" s="115"/>
      <c r="U569" s="115"/>
      <c r="V569" s="115"/>
      <c r="W569" s="115"/>
      <c r="X569" s="115"/>
      <c r="Y569" s="115"/>
    </row>
    <row r="570" spans="1:27">
      <c r="A570" s="152">
        <v>45001</v>
      </c>
      <c r="B570" s="152"/>
      <c r="C570" s="700" t="s">
        <v>582</v>
      </c>
      <c r="D570" s="229">
        <v>20.440999999999999</v>
      </c>
      <c r="E570" s="229">
        <v>23.891999999999999</v>
      </c>
      <c r="F570" s="229">
        <v>21.7805</v>
      </c>
      <c r="G570" s="229">
        <v>23.822199999999999</v>
      </c>
      <c r="H570" s="229">
        <v>24.445</v>
      </c>
      <c r="I570" s="197">
        <v>23.47</v>
      </c>
      <c r="J570" s="197">
        <v>111.71299999999999</v>
      </c>
      <c r="K570" s="197">
        <v>148.73699999999999</v>
      </c>
      <c r="L570" s="197">
        <v>0</v>
      </c>
      <c r="M570" s="197">
        <v>0.1105</v>
      </c>
      <c r="N570" s="197">
        <v>6.6299999999999998E-2</v>
      </c>
      <c r="O570" s="199">
        <v>1137</v>
      </c>
      <c r="P570" s="692"/>
      <c r="Q570" s="692"/>
      <c r="R570" s="692"/>
      <c r="S570" s="301">
        <v>83004</v>
      </c>
      <c r="T570" s="115"/>
      <c r="U570" s="115"/>
      <c r="V570" s="115"/>
      <c r="W570" s="239">
        <v>810.8</v>
      </c>
      <c r="X570" s="239">
        <v>595.79999999999995</v>
      </c>
      <c r="Y570" s="115"/>
    </row>
    <row r="571" spans="1:27">
      <c r="A571" s="152">
        <v>45001</v>
      </c>
      <c r="B571" s="152"/>
      <c r="C571" s="700" t="s">
        <v>34</v>
      </c>
      <c r="D571" s="229">
        <v>20.440999999999999</v>
      </c>
      <c r="E571" s="229">
        <v>23.891999999999999</v>
      </c>
      <c r="F571" s="229">
        <v>21.7805</v>
      </c>
      <c r="G571" s="229">
        <v>23.822199999999999</v>
      </c>
      <c r="H571" s="229">
        <v>24.445</v>
      </c>
      <c r="I571" s="197">
        <v>23.47</v>
      </c>
      <c r="J571" s="197">
        <v>-76.105000000000004</v>
      </c>
      <c r="K571" s="197">
        <v>125.70699999999999</v>
      </c>
      <c r="L571" s="197">
        <v>-1E-3</v>
      </c>
      <c r="M571" s="240">
        <v>8.77E-2</v>
      </c>
      <c r="N571" s="197">
        <v>5.8999999999999997E-2</v>
      </c>
      <c r="O571" s="197" t="s">
        <v>70</v>
      </c>
      <c r="P571" s="692"/>
      <c r="Q571" s="692"/>
      <c r="R571" s="692"/>
      <c r="S571" s="301">
        <v>84210</v>
      </c>
      <c r="T571" s="115"/>
      <c r="U571" s="228">
        <v>-4.8999999999999998E-3</v>
      </c>
      <c r="V571" s="228">
        <v>-6.0000000000000002E-5</v>
      </c>
      <c r="W571" s="115"/>
      <c r="X571" s="115"/>
      <c r="Y571" s="115"/>
    </row>
    <row r="572" spans="1:27">
      <c r="A572" s="152">
        <v>45001</v>
      </c>
      <c r="B572" s="152"/>
      <c r="C572" s="700" t="s">
        <v>35</v>
      </c>
      <c r="D572" s="229">
        <v>20.440999999999999</v>
      </c>
      <c r="E572" s="229">
        <v>23.891999999999999</v>
      </c>
      <c r="F572" s="229">
        <v>21.7805</v>
      </c>
      <c r="G572" s="229">
        <v>23.822199999999999</v>
      </c>
      <c r="H572" s="229">
        <v>24.445</v>
      </c>
      <c r="I572" s="197">
        <v>23.47</v>
      </c>
      <c r="J572" s="197">
        <v>-60.35</v>
      </c>
      <c r="K572" s="197">
        <v>108.378</v>
      </c>
      <c r="L572" s="197">
        <v>-1E-3</v>
      </c>
      <c r="M572" s="197">
        <v>8.7900000000000006E-2</v>
      </c>
      <c r="N572" s="197">
        <v>5.8999999999999997E-2</v>
      </c>
      <c r="O572" s="199">
        <v>1137</v>
      </c>
      <c r="P572" s="692"/>
      <c r="Q572" s="692"/>
      <c r="R572" s="692"/>
      <c r="S572" s="301">
        <v>85053</v>
      </c>
      <c r="T572" s="115"/>
      <c r="U572" s="115"/>
      <c r="V572" s="115"/>
      <c r="W572" s="239">
        <v>810.7</v>
      </c>
      <c r="X572" s="239">
        <v>595.98</v>
      </c>
      <c r="Y572" s="115"/>
    </row>
    <row r="573" spans="1:27">
      <c r="A573" s="152">
        <v>45001</v>
      </c>
      <c r="B573" s="152"/>
      <c r="C573" s="700" t="s">
        <v>797</v>
      </c>
      <c r="D573" s="229">
        <v>20.440999999999999</v>
      </c>
      <c r="E573" s="229">
        <v>23.891999999999999</v>
      </c>
      <c r="F573" s="229">
        <v>21.7805</v>
      </c>
      <c r="G573" s="229">
        <v>23.822199999999999</v>
      </c>
      <c r="H573" s="229">
        <v>24.445</v>
      </c>
      <c r="I573" s="197">
        <v>23.47</v>
      </c>
      <c r="J573" s="197">
        <v>-105.494</v>
      </c>
      <c r="K573" s="197">
        <v>102.70099999999999</v>
      </c>
      <c r="L573" s="197">
        <v>0</v>
      </c>
      <c r="M573" s="197">
        <v>8.7900000000000006E-2</v>
      </c>
      <c r="N573" s="197">
        <v>5.8999999999999997E-2</v>
      </c>
      <c r="O573" s="199">
        <v>1137</v>
      </c>
      <c r="P573" s="692"/>
      <c r="Q573" s="197">
        <v>17</v>
      </c>
      <c r="R573" s="197">
        <v>3.4589699999999999</v>
      </c>
      <c r="T573" s="115"/>
      <c r="U573" s="115"/>
      <c r="V573" s="115"/>
      <c r="W573" s="115"/>
      <c r="X573" s="115"/>
      <c r="Y573" s="115"/>
    </row>
    <row r="574" spans="1:27" ht="30.6">
      <c r="A574" s="152">
        <v>45001</v>
      </c>
      <c r="B574" s="152"/>
      <c r="C574" s="700" t="s">
        <v>798</v>
      </c>
      <c r="D574" s="229">
        <v>20.440999999999999</v>
      </c>
      <c r="E574" s="229">
        <v>23.891999999999999</v>
      </c>
      <c r="F574" s="229">
        <v>21.7805</v>
      </c>
      <c r="G574" s="229">
        <v>23.822199999999999</v>
      </c>
      <c r="H574" s="229">
        <v>24.445</v>
      </c>
      <c r="I574" s="197">
        <v>23.47</v>
      </c>
      <c r="J574" s="197"/>
      <c r="K574" s="197"/>
      <c r="L574" s="197"/>
      <c r="M574" s="197">
        <v>8.7900000000000006E-2</v>
      </c>
      <c r="N574" s="197">
        <v>5.8999999999999997E-2</v>
      </c>
      <c r="O574" s="199">
        <v>1137</v>
      </c>
      <c r="P574" s="692"/>
      <c r="Q574" s="197"/>
      <c r="R574" s="197"/>
      <c r="T574" s="115"/>
      <c r="U574" s="115"/>
      <c r="V574" s="115"/>
      <c r="W574" s="115"/>
      <c r="X574" s="115"/>
      <c r="Y574" s="115"/>
    </row>
    <row r="575" spans="1:27">
      <c r="A575" s="152">
        <v>45001</v>
      </c>
      <c r="B575" s="152"/>
      <c r="C575" s="700" t="s">
        <v>577</v>
      </c>
      <c r="D575" s="229">
        <v>20.440999999999999</v>
      </c>
      <c r="E575" s="229">
        <v>23.891999999999999</v>
      </c>
      <c r="F575" s="229">
        <v>21.7805</v>
      </c>
      <c r="G575" s="229">
        <v>23.822199999999999</v>
      </c>
      <c r="H575" s="229">
        <v>24.445</v>
      </c>
      <c r="I575" s="197">
        <v>23.47</v>
      </c>
      <c r="J575" s="197">
        <v>-83.424000000000007</v>
      </c>
      <c r="K575" s="197">
        <v>148.62100000000001</v>
      </c>
      <c r="L575" s="197">
        <v>-1E-3</v>
      </c>
      <c r="M575" s="197">
        <v>8.7900000000000006E-2</v>
      </c>
      <c r="N575" s="197">
        <v>5.8999999999999997E-2</v>
      </c>
      <c r="O575" s="199">
        <v>1137</v>
      </c>
      <c r="P575" s="692"/>
      <c r="Q575" s="692"/>
      <c r="R575" s="692"/>
      <c r="S575" s="307">
        <v>92600</v>
      </c>
      <c r="T575" s="115"/>
      <c r="U575" s="115"/>
      <c r="V575" s="115"/>
      <c r="W575" s="241">
        <v>810.8</v>
      </c>
      <c r="X575" s="241">
        <v>595.79999999999995</v>
      </c>
      <c r="Y575" s="115"/>
    </row>
    <row r="576" spans="1:27" ht="41.45">
      <c r="A576" s="694" t="s">
        <v>0</v>
      </c>
      <c r="B576" s="694"/>
      <c r="C576" s="261" t="s">
        <v>375</v>
      </c>
      <c r="D576" s="751" t="s">
        <v>6</v>
      </c>
      <c r="E576" s="751"/>
      <c r="F576" s="751" t="s">
        <v>7</v>
      </c>
      <c r="G576" s="751"/>
      <c r="H576" s="751" t="s">
        <v>8</v>
      </c>
      <c r="I576" s="751"/>
      <c r="J576" s="694" t="s">
        <v>629</v>
      </c>
      <c r="K576" s="694" t="s">
        <v>630</v>
      </c>
      <c r="L576" s="694" t="s">
        <v>631</v>
      </c>
      <c r="M576" s="694" t="s">
        <v>632</v>
      </c>
      <c r="N576" s="694" t="s">
        <v>633</v>
      </c>
      <c r="O576" s="694" t="s">
        <v>14</v>
      </c>
      <c r="P576" s="694" t="s">
        <v>595</v>
      </c>
      <c r="Q576" s="694" t="s">
        <v>15</v>
      </c>
      <c r="R576" s="694" t="s">
        <v>16</v>
      </c>
      <c r="S576" s="290" t="s">
        <v>17</v>
      </c>
      <c r="T576" s="694" t="s">
        <v>419</v>
      </c>
      <c r="U576" s="242" t="s">
        <v>799</v>
      </c>
      <c r="V576" s="242" t="s">
        <v>800</v>
      </c>
      <c r="W576" s="694" t="s">
        <v>359</v>
      </c>
      <c r="X576" s="694" t="s">
        <v>360</v>
      </c>
      <c r="Y576" s="144"/>
    </row>
    <row r="577" spans="1:30" ht="20.45">
      <c r="A577" s="243">
        <v>45002.865277777775</v>
      </c>
      <c r="B577" s="243"/>
      <c r="C577" s="700" t="s">
        <v>795</v>
      </c>
      <c r="D577" s="229">
        <v>20.440999999999999</v>
      </c>
      <c r="E577" s="229">
        <v>23.891999999999999</v>
      </c>
      <c r="F577" s="229">
        <v>21.7805</v>
      </c>
      <c r="G577" s="229">
        <v>23.822199999999999</v>
      </c>
      <c r="H577" s="229">
        <v>24.445</v>
      </c>
      <c r="I577" s="197">
        <v>23.47</v>
      </c>
      <c r="J577" s="692"/>
      <c r="K577" s="692"/>
      <c r="L577" s="692"/>
      <c r="M577" s="692"/>
      <c r="N577" s="692"/>
      <c r="O577" s="229" t="s">
        <v>47</v>
      </c>
      <c r="P577" s="692"/>
      <c r="Q577" s="692"/>
      <c r="R577" s="692"/>
      <c r="S577" s="306">
        <v>4605</v>
      </c>
      <c r="T577" s="692"/>
      <c r="U577" s="692"/>
      <c r="V577" s="692"/>
      <c r="W577" s="229">
        <v>809.6</v>
      </c>
      <c r="X577" s="229">
        <v>596.6</v>
      </c>
      <c r="Y577" s="692"/>
      <c r="Z577" s="162"/>
      <c r="AA577" s="115"/>
      <c r="AB577" s="115"/>
      <c r="AC577" s="115"/>
      <c r="AD577" s="115"/>
    </row>
    <row r="578" spans="1:30" ht="20.45">
      <c r="A578" s="243">
        <v>45002.868750000001</v>
      </c>
      <c r="B578" s="243"/>
      <c r="C578" s="700" t="s">
        <v>795</v>
      </c>
      <c r="D578" s="229">
        <v>20.440999999999999</v>
      </c>
      <c r="E578" s="229">
        <v>23.891999999999999</v>
      </c>
      <c r="F578" s="229">
        <v>21.7805</v>
      </c>
      <c r="G578" s="229">
        <v>23.822199999999999</v>
      </c>
      <c r="H578" s="229">
        <v>24.445</v>
      </c>
      <c r="I578" s="197">
        <v>23.47</v>
      </c>
      <c r="J578" s="692"/>
      <c r="K578" s="692"/>
      <c r="L578" s="692"/>
      <c r="M578" s="692"/>
      <c r="N578" s="692"/>
      <c r="O578" s="229" t="s">
        <v>626</v>
      </c>
      <c r="P578" s="692"/>
      <c r="Q578" s="692"/>
      <c r="R578" s="692"/>
      <c r="S578" s="306">
        <v>4926</v>
      </c>
      <c r="T578" s="692"/>
      <c r="U578" s="197">
        <v>-1.5E-3</v>
      </c>
      <c r="V578" s="197">
        <v>-2.9999999999999997E-4</v>
      </c>
      <c r="W578" s="692"/>
      <c r="X578" s="692"/>
      <c r="Y578" s="692"/>
      <c r="Z578" s="162"/>
      <c r="AA578" s="115"/>
      <c r="AB578" s="115"/>
      <c r="AC578" s="115"/>
      <c r="AD578" s="115"/>
    </row>
    <row r="579" spans="1:30">
      <c r="A579" s="243">
        <v>45002.869444444441</v>
      </c>
      <c r="B579" s="243"/>
      <c r="C579" s="700" t="s">
        <v>27</v>
      </c>
      <c r="D579" s="229">
        <v>20.440999999999999</v>
      </c>
      <c r="E579" s="229">
        <v>23.891999999999999</v>
      </c>
      <c r="F579" s="229">
        <v>21.7805</v>
      </c>
      <c r="G579" s="229">
        <v>23.822199999999999</v>
      </c>
      <c r="H579" s="229">
        <v>24.445</v>
      </c>
      <c r="I579" s="197">
        <v>23.47</v>
      </c>
      <c r="J579" s="756"/>
      <c r="K579" s="756"/>
      <c r="L579" s="756"/>
      <c r="M579" s="756"/>
      <c r="N579" s="756"/>
      <c r="O579" s="692"/>
      <c r="P579" s="692"/>
      <c r="Q579" s="197">
        <v>39</v>
      </c>
      <c r="R579" s="197">
        <v>4.0316169999999998</v>
      </c>
      <c r="T579" s="692"/>
      <c r="U579" s="692"/>
      <c r="V579" s="692"/>
      <c r="W579" s="692"/>
      <c r="X579" s="692"/>
      <c r="Y579" s="692"/>
      <c r="Z579" s="162"/>
      <c r="AA579" s="115"/>
      <c r="AB579" s="115"/>
      <c r="AC579" s="115"/>
      <c r="AD579" s="115"/>
    </row>
    <row r="580" spans="1:30">
      <c r="A580" s="243">
        <v>45002</v>
      </c>
      <c r="B580" s="243"/>
      <c r="C580" s="700" t="s">
        <v>31</v>
      </c>
      <c r="D580" s="229">
        <v>20.440999999999999</v>
      </c>
      <c r="E580" s="229">
        <v>23.891999999999999</v>
      </c>
      <c r="F580" s="229">
        <v>21.7805</v>
      </c>
      <c r="G580" s="229">
        <v>23.822199999999999</v>
      </c>
      <c r="H580" s="229">
        <v>24.445</v>
      </c>
      <c r="I580" s="197">
        <v>23.47</v>
      </c>
      <c r="J580" s="197">
        <v>101.501</v>
      </c>
      <c r="K580" s="197">
        <v>125.706</v>
      </c>
      <c r="L580" s="197">
        <v>-4.0000000000000001E-3</v>
      </c>
      <c r="M580" s="197">
        <v>0.106</v>
      </c>
      <c r="N580" s="197">
        <v>6.9699999999999998E-2</v>
      </c>
      <c r="O580" s="199" t="s">
        <v>626</v>
      </c>
      <c r="P580" s="692"/>
      <c r="Q580" s="692"/>
      <c r="R580" s="692"/>
      <c r="S580" s="301">
        <v>13552</v>
      </c>
      <c r="T580" s="692"/>
      <c r="U580" s="244">
        <v>-2.8E-3</v>
      </c>
      <c r="V580" s="244">
        <v>8.0000000000000004E-4</v>
      </c>
      <c r="W580" s="692"/>
      <c r="X580" s="692"/>
      <c r="Y580" s="692"/>
      <c r="Z580" s="162"/>
      <c r="AA580" s="115"/>
      <c r="AB580" s="115"/>
      <c r="AC580" s="115"/>
      <c r="AD580" s="115"/>
    </row>
    <row r="581" spans="1:30">
      <c r="A581" s="243">
        <v>45002.917361111111</v>
      </c>
      <c r="B581" s="243"/>
      <c r="C581" s="700" t="s">
        <v>32</v>
      </c>
      <c r="D581" s="229">
        <v>20.440999999999999</v>
      </c>
      <c r="E581" s="229">
        <v>23.891999999999999</v>
      </c>
      <c r="F581" s="229">
        <v>21.7805</v>
      </c>
      <c r="G581" s="229">
        <v>23.822199999999999</v>
      </c>
      <c r="H581" s="229">
        <v>24.445</v>
      </c>
      <c r="I581" s="197">
        <v>23.47</v>
      </c>
      <c r="J581" s="197">
        <v>88.876000000000005</v>
      </c>
      <c r="K581" s="197">
        <v>108.753</v>
      </c>
      <c r="L581" s="197">
        <v>-4.0000000000000001E-3</v>
      </c>
      <c r="M581" s="197">
        <v>0.106</v>
      </c>
      <c r="N581" s="197">
        <v>6.9800000000000001E-2</v>
      </c>
      <c r="O581" s="199">
        <v>1125</v>
      </c>
      <c r="P581" s="692"/>
      <c r="Q581" s="692"/>
      <c r="R581" s="692"/>
      <c r="S581" s="301">
        <v>15359</v>
      </c>
      <c r="T581" s="692"/>
      <c r="U581" s="692"/>
      <c r="V581" s="692"/>
      <c r="W581" s="244">
        <v>809</v>
      </c>
      <c r="X581" s="244">
        <v>596.9</v>
      </c>
      <c r="Y581" s="692"/>
      <c r="Z581" s="162"/>
      <c r="AA581" s="115">
        <f>J581-J567</f>
        <v>0.20700000000000784</v>
      </c>
      <c r="AB581" s="115">
        <f>K581-K567</f>
        <v>0.34900000000000375</v>
      </c>
      <c r="AC581" s="115"/>
      <c r="AD581" s="115"/>
    </row>
    <row r="582" spans="1:30">
      <c r="A582" s="243">
        <v>45002.924305555556</v>
      </c>
      <c r="B582" s="243"/>
      <c r="C582" s="700" t="s">
        <v>796</v>
      </c>
      <c r="D582" s="229">
        <v>20.440999999999999</v>
      </c>
      <c r="E582" s="229">
        <v>23.891999999999999</v>
      </c>
      <c r="F582" s="229">
        <v>21.7805</v>
      </c>
      <c r="G582" s="229">
        <v>23.822199999999999</v>
      </c>
      <c r="H582" s="229">
        <v>24.445</v>
      </c>
      <c r="I582" s="197">
        <v>23.47</v>
      </c>
      <c r="J582" s="197">
        <v>66.694999999999993</v>
      </c>
      <c r="K582" s="197">
        <v>102.4</v>
      </c>
      <c r="L582" s="197">
        <v>-4.0000000000000001E-3</v>
      </c>
      <c r="M582" s="197">
        <v>0.106</v>
      </c>
      <c r="N582" s="197">
        <v>6.9800000000000001E-2</v>
      </c>
      <c r="O582" s="199">
        <v>1125</v>
      </c>
      <c r="P582" s="692"/>
      <c r="Q582" s="197">
        <v>20</v>
      </c>
      <c r="R582" s="197">
        <v>3.458936</v>
      </c>
      <c r="T582" s="692"/>
      <c r="U582" s="692"/>
      <c r="V582" s="692"/>
      <c r="W582" s="692"/>
      <c r="X582" s="692"/>
      <c r="Y582" s="692"/>
      <c r="Z582" s="162"/>
      <c r="AA582" s="115"/>
      <c r="AB582" s="115"/>
      <c r="AC582" s="115"/>
      <c r="AD582" s="115"/>
    </row>
    <row r="583" spans="1:30">
      <c r="A583" s="692"/>
      <c r="B583" s="692"/>
      <c r="C583" s="700"/>
      <c r="D583" s="692"/>
      <c r="E583" s="692"/>
      <c r="F583" s="692"/>
      <c r="G583" s="692"/>
      <c r="H583" s="692"/>
      <c r="I583" s="692"/>
      <c r="J583" s="692"/>
      <c r="K583" s="692"/>
      <c r="L583" s="692"/>
      <c r="M583" s="692"/>
      <c r="N583" s="692"/>
      <c r="O583" s="692"/>
      <c r="P583" s="692"/>
      <c r="Q583" s="692"/>
      <c r="R583" s="692"/>
      <c r="T583" s="692"/>
      <c r="U583" s="692"/>
      <c r="V583" s="692"/>
      <c r="W583" s="692"/>
      <c r="X583" s="692"/>
      <c r="Y583" s="692"/>
      <c r="Z583" s="162"/>
      <c r="AA583" s="115"/>
      <c r="AB583" s="115"/>
      <c r="AC583" s="115"/>
      <c r="AD583" s="115"/>
    </row>
    <row r="584" spans="1:30">
      <c r="A584" s="755" t="s">
        <v>801</v>
      </c>
      <c r="B584" s="755"/>
      <c r="C584" s="755"/>
      <c r="D584" s="755"/>
      <c r="E584" s="755"/>
      <c r="F584" s="755"/>
      <c r="G584" s="755"/>
      <c r="H584" s="755"/>
      <c r="I584" s="755"/>
      <c r="J584" s="755"/>
      <c r="K584" s="755"/>
      <c r="L584" s="755"/>
      <c r="M584" s="755"/>
      <c r="N584" s="755"/>
      <c r="O584" s="755"/>
      <c r="P584" s="755"/>
      <c r="Q584" s="755"/>
      <c r="R584" s="755"/>
      <c r="S584" s="755"/>
      <c r="T584" s="755"/>
      <c r="U584" s="755"/>
      <c r="V584" s="755"/>
      <c r="W584" s="755"/>
      <c r="X584" s="755"/>
      <c r="Y584" s="755"/>
      <c r="Z584" s="162"/>
      <c r="AA584" s="115"/>
      <c r="AB584" s="115"/>
      <c r="AC584" s="115"/>
      <c r="AD584" s="115"/>
    </row>
    <row r="585" spans="1:30">
      <c r="A585" s="245">
        <v>45004</v>
      </c>
      <c r="B585" s="692" t="s">
        <v>802</v>
      </c>
      <c r="C585" s="700" t="s">
        <v>27</v>
      </c>
      <c r="D585" s="757" t="s">
        <v>803</v>
      </c>
      <c r="E585" s="757"/>
      <c r="F585" s="757"/>
      <c r="G585" s="757"/>
      <c r="H585" s="757"/>
      <c r="I585" s="757"/>
      <c r="J585" s="695"/>
      <c r="K585" s="695"/>
      <c r="L585" s="234"/>
      <c r="M585" s="234"/>
      <c r="N585" s="234"/>
      <c r="O585" s="692"/>
      <c r="P585" s="692"/>
      <c r="Q585" s="197">
        <v>67</v>
      </c>
      <c r="R585" s="197">
        <v>4.0297280000000004</v>
      </c>
      <c r="T585" s="692"/>
      <c r="U585" s="692"/>
      <c r="V585" s="692"/>
      <c r="W585" s="692"/>
      <c r="X585" s="692"/>
      <c r="Y585" s="692"/>
      <c r="Z585" s="163" t="s">
        <v>804</v>
      </c>
    </row>
    <row r="586" spans="1:30">
      <c r="A586" s="245">
        <v>45004</v>
      </c>
      <c r="B586" s="246">
        <v>0.84652777777777777</v>
      </c>
      <c r="C586" s="700" t="s">
        <v>25</v>
      </c>
      <c r="D586" s="757"/>
      <c r="E586" s="757"/>
      <c r="F586" s="757"/>
      <c r="G586" s="757"/>
      <c r="H586" s="757"/>
      <c r="I586" s="757"/>
      <c r="J586" s="692"/>
      <c r="K586" s="692"/>
      <c r="L586" s="692"/>
      <c r="M586" s="692"/>
      <c r="N586" s="692"/>
      <c r="O586" s="229" t="s">
        <v>626</v>
      </c>
      <c r="P586" s="692"/>
      <c r="Q586" s="692"/>
      <c r="R586" s="692"/>
      <c r="S586" s="306">
        <v>1900</v>
      </c>
      <c r="T586" s="692"/>
      <c r="U586" s="197">
        <v>3.0999999999999999E-3</v>
      </c>
      <c r="V586" s="197">
        <v>2.8E-3</v>
      </c>
      <c r="W586" s="692"/>
      <c r="X586" s="692"/>
      <c r="Y586" s="692"/>
    </row>
    <row r="587" spans="1:30">
      <c r="A587" s="245">
        <v>45004</v>
      </c>
      <c r="B587" s="246">
        <v>0.84861111111111109</v>
      </c>
      <c r="C587" s="700" t="s">
        <v>752</v>
      </c>
      <c r="D587" s="757"/>
      <c r="E587" s="757"/>
      <c r="F587" s="757"/>
      <c r="G587" s="757"/>
      <c r="H587" s="757"/>
      <c r="I587" s="757"/>
      <c r="J587" s="692"/>
      <c r="K587" s="692"/>
      <c r="L587" s="692"/>
      <c r="M587" s="692"/>
      <c r="N587" s="692"/>
      <c r="O587" s="229" t="s">
        <v>82</v>
      </c>
      <c r="P587" s="692"/>
      <c r="Q587" s="692"/>
      <c r="R587" s="692"/>
      <c r="S587" s="306">
        <v>2218</v>
      </c>
      <c r="T587" s="692"/>
      <c r="U587" s="692"/>
      <c r="V587" s="692"/>
      <c r="W587" s="229">
        <v>809</v>
      </c>
      <c r="X587" s="229">
        <v>600.79999999999995</v>
      </c>
      <c r="Y587" s="692"/>
    </row>
    <row r="588" spans="1:30">
      <c r="A588" s="245">
        <v>45005</v>
      </c>
      <c r="B588" s="246">
        <v>0.54583333333333328</v>
      </c>
      <c r="C588" s="700" t="s">
        <v>27</v>
      </c>
      <c r="D588" s="757" t="s">
        <v>803</v>
      </c>
      <c r="E588" s="757"/>
      <c r="F588" s="757"/>
      <c r="G588" s="757"/>
      <c r="H588" s="757"/>
      <c r="I588" s="757"/>
      <c r="J588" s="695"/>
      <c r="K588" s="695"/>
      <c r="L588" s="234"/>
      <c r="M588" s="234"/>
      <c r="N588" s="234"/>
      <c r="O588" s="692"/>
      <c r="P588" s="692"/>
      <c r="Q588" s="197">
        <v>70</v>
      </c>
      <c r="R588" s="197">
        <v>4.0288320000000004</v>
      </c>
      <c r="T588" s="692"/>
      <c r="U588" s="692"/>
      <c r="V588" s="692"/>
      <c r="W588" s="692"/>
      <c r="X588" s="692"/>
      <c r="Y588" s="692"/>
    </row>
    <row r="589" spans="1:30">
      <c r="A589" s="245">
        <v>45005</v>
      </c>
      <c r="B589" s="246">
        <v>0.55625000000000002</v>
      </c>
      <c r="C589" s="700" t="s">
        <v>25</v>
      </c>
      <c r="D589" s="757"/>
      <c r="E589" s="757"/>
      <c r="F589" s="757"/>
      <c r="G589" s="757"/>
      <c r="H589" s="757"/>
      <c r="I589" s="757"/>
      <c r="J589" s="692"/>
      <c r="K589" s="692"/>
      <c r="L589" s="692"/>
      <c r="M589" s="692"/>
      <c r="N589" s="692"/>
      <c r="O589" s="229" t="s">
        <v>51</v>
      </c>
      <c r="P589" s="692"/>
      <c r="Q589" s="692"/>
      <c r="R589" s="692"/>
      <c r="S589" s="306">
        <v>31432</v>
      </c>
      <c r="T589" s="692"/>
      <c r="U589" s="197">
        <v>5.9999999999999995E-4</v>
      </c>
      <c r="V589" s="197">
        <v>-7.1999999999999998E-3</v>
      </c>
      <c r="W589" s="692"/>
      <c r="X589" s="692"/>
      <c r="Y589" s="692"/>
      <c r="Z589" s="247" t="s">
        <v>805</v>
      </c>
    </row>
    <row r="590" spans="1:30">
      <c r="A590" s="245">
        <v>45005</v>
      </c>
      <c r="B590" s="246">
        <v>0.58124999999999993</v>
      </c>
      <c r="C590" s="700" t="s">
        <v>752</v>
      </c>
      <c r="D590" s="757"/>
      <c r="E590" s="757"/>
      <c r="F590" s="757"/>
      <c r="G590" s="757"/>
      <c r="H590" s="757"/>
      <c r="I590" s="757"/>
      <c r="J590" s="692"/>
      <c r="K590" s="692"/>
      <c r="L590" s="692"/>
      <c r="M590" s="692"/>
      <c r="N590" s="692"/>
      <c r="O590" s="229" t="s">
        <v>355</v>
      </c>
      <c r="P590" s="692"/>
      <c r="Q590" s="692"/>
      <c r="R590" s="692"/>
      <c r="S590" s="306">
        <v>35621</v>
      </c>
      <c r="T590" s="692"/>
      <c r="U590" s="692"/>
      <c r="V590" s="692"/>
      <c r="W590" s="229">
        <v>794.6</v>
      </c>
      <c r="X590" s="229">
        <v>586</v>
      </c>
      <c r="Y590" s="692"/>
    </row>
    <row r="591" spans="1:30" ht="15" customHeight="1">
      <c r="A591" s="245">
        <v>45006</v>
      </c>
      <c r="B591" s="246">
        <v>0.47500000000000003</v>
      </c>
      <c r="C591" s="700" t="s">
        <v>27</v>
      </c>
      <c r="D591" s="754" t="s">
        <v>803</v>
      </c>
      <c r="E591" s="754"/>
      <c r="F591" s="754"/>
      <c r="G591" s="754"/>
      <c r="H591" s="754"/>
      <c r="I591" s="754"/>
      <c r="J591" s="695"/>
      <c r="K591" s="695"/>
      <c r="L591" s="234"/>
      <c r="M591" s="234"/>
      <c r="N591" s="234"/>
      <c r="O591" s="692"/>
      <c r="P591" s="692"/>
      <c r="Q591" s="229">
        <v>42</v>
      </c>
      <c r="R591" s="248">
        <v>4.0265700000000004</v>
      </c>
      <c r="T591" s="692"/>
      <c r="U591" s="692"/>
      <c r="V591" s="692"/>
      <c r="W591" s="692"/>
      <c r="X591" s="692"/>
      <c r="Y591" s="692"/>
    </row>
    <row r="592" spans="1:30" ht="15" customHeight="1">
      <c r="A592" s="245">
        <v>45006</v>
      </c>
      <c r="B592" s="246">
        <v>0.65763888888888888</v>
      </c>
      <c r="C592" s="700" t="s">
        <v>753</v>
      </c>
      <c r="D592" s="754" t="s">
        <v>803</v>
      </c>
      <c r="E592" s="754"/>
      <c r="F592" s="754"/>
      <c r="G592" s="754"/>
      <c r="H592" s="145">
        <v>24.436</v>
      </c>
      <c r="I592" s="145">
        <v>23.425999999999998</v>
      </c>
      <c r="J592" s="692"/>
      <c r="K592" s="692"/>
      <c r="L592" s="692"/>
      <c r="M592" s="692"/>
      <c r="N592" s="692"/>
      <c r="O592" s="692"/>
      <c r="P592" s="692"/>
      <c r="Q592" s="229">
        <v>11</v>
      </c>
      <c r="R592" s="248">
        <v>4.0159799999999999</v>
      </c>
      <c r="T592" s="692"/>
      <c r="U592" s="692"/>
      <c r="V592" s="692"/>
      <c r="W592" s="692"/>
      <c r="X592" s="692"/>
      <c r="Y592" s="692"/>
    </row>
    <row r="593" spans="1:26" ht="15" customHeight="1">
      <c r="A593" s="245">
        <v>45006</v>
      </c>
      <c r="B593" s="246">
        <v>0.66597222222222219</v>
      </c>
      <c r="C593" s="700" t="s">
        <v>753</v>
      </c>
      <c r="D593" s="754"/>
      <c r="E593" s="754"/>
      <c r="F593" s="754"/>
      <c r="G593" s="754"/>
      <c r="H593" s="146">
        <v>24.436</v>
      </c>
      <c r="I593" s="146">
        <v>23.431000000000001</v>
      </c>
      <c r="J593" s="692"/>
      <c r="K593" s="692"/>
      <c r="L593" s="692"/>
      <c r="M593" s="692"/>
      <c r="N593" s="692"/>
      <c r="O593" s="692"/>
      <c r="P593" s="692"/>
      <c r="Q593" s="249">
        <v>18</v>
      </c>
      <c r="R593" s="250">
        <v>4.0159820000000002</v>
      </c>
      <c r="T593" s="692"/>
      <c r="U593" s="692"/>
      <c r="V593" s="692"/>
      <c r="W593" s="692"/>
      <c r="X593" s="692"/>
      <c r="Y593" s="692"/>
      <c r="Z593" s="163" t="s">
        <v>806</v>
      </c>
    </row>
    <row r="594" spans="1:26">
      <c r="A594" s="245">
        <v>45006</v>
      </c>
      <c r="B594" s="246">
        <v>0.66875000000000007</v>
      </c>
      <c r="C594" s="700" t="s">
        <v>753</v>
      </c>
      <c r="D594" s="754"/>
      <c r="E594" s="754"/>
      <c r="F594" s="754"/>
      <c r="G594" s="754"/>
      <c r="H594" s="145">
        <v>24.436</v>
      </c>
      <c r="I594" s="145">
        <v>23.436</v>
      </c>
      <c r="J594" s="692"/>
      <c r="K594" s="692"/>
      <c r="L594" s="692"/>
      <c r="M594" s="692"/>
      <c r="N594" s="692"/>
      <c r="O594" s="692"/>
      <c r="P594" s="692"/>
      <c r="Q594" s="229">
        <v>8</v>
      </c>
      <c r="R594" s="251">
        <v>4.0160090000000004</v>
      </c>
      <c r="T594" s="692"/>
      <c r="U594" s="692"/>
      <c r="V594" s="692"/>
      <c r="W594" s="692"/>
      <c r="X594" s="692"/>
      <c r="Y594" s="692"/>
    </row>
    <row r="595" spans="1:26" ht="15" customHeight="1">
      <c r="A595" s="245">
        <v>45006</v>
      </c>
      <c r="B595" s="246">
        <v>0.67361111111111116</v>
      </c>
      <c r="C595" s="700" t="s">
        <v>753</v>
      </c>
      <c r="D595" s="754"/>
      <c r="E595" s="754"/>
      <c r="F595" s="754"/>
      <c r="G595" s="754"/>
      <c r="H595" s="145">
        <v>24.431000000000001</v>
      </c>
      <c r="I595" s="145">
        <v>23.431000000000001</v>
      </c>
      <c r="J595" s="692"/>
      <c r="K595" s="692"/>
      <c r="L595" s="692"/>
      <c r="M595" s="692"/>
      <c r="N595" s="692"/>
      <c r="O595" s="692"/>
      <c r="P595" s="692"/>
      <c r="Q595" s="229">
        <v>9</v>
      </c>
      <c r="R595" s="248">
        <v>4.0159529999999997</v>
      </c>
      <c r="T595" s="692"/>
      <c r="U595" s="692"/>
      <c r="V595" s="692"/>
      <c r="W595" s="692"/>
      <c r="X595" s="692"/>
      <c r="Y595" s="692"/>
    </row>
    <row r="596" spans="1:26">
      <c r="A596" s="245">
        <v>45006</v>
      </c>
      <c r="B596" s="246">
        <v>0.67638888888888893</v>
      </c>
      <c r="C596" s="700" t="s">
        <v>753</v>
      </c>
      <c r="D596" s="754"/>
      <c r="E596" s="754"/>
      <c r="F596" s="754"/>
      <c r="G596" s="754"/>
      <c r="H596" s="145">
        <v>24.440999999999999</v>
      </c>
      <c r="I596" s="145">
        <v>23.431000000000001</v>
      </c>
      <c r="J596" s="692"/>
      <c r="K596" s="692"/>
      <c r="L596" s="692"/>
      <c r="M596" s="692"/>
      <c r="N596" s="692"/>
      <c r="O596" s="692"/>
      <c r="P596" s="692"/>
      <c r="Q596" s="229">
        <v>18</v>
      </c>
      <c r="R596" s="248">
        <v>4.0159479999999999</v>
      </c>
      <c r="T596" s="692"/>
      <c r="U596" s="692"/>
      <c r="V596" s="692"/>
      <c r="W596" s="692"/>
      <c r="X596" s="692"/>
      <c r="Y596" s="692"/>
    </row>
    <row r="597" spans="1:26">
      <c r="A597" s="755" t="s">
        <v>807</v>
      </c>
      <c r="B597" s="755"/>
      <c r="C597" s="755"/>
      <c r="D597" s="692"/>
      <c r="E597" s="692"/>
      <c r="F597" s="692"/>
      <c r="G597" s="692"/>
      <c r="H597" s="692"/>
      <c r="I597" s="692"/>
      <c r="J597" s="692"/>
      <c r="K597" s="692"/>
      <c r="L597" s="692"/>
      <c r="M597" s="692"/>
      <c r="N597" s="692"/>
      <c r="O597" s="692"/>
      <c r="P597" s="692"/>
      <c r="Q597" s="692"/>
      <c r="R597" s="692"/>
      <c r="T597" s="692"/>
      <c r="U597" s="692"/>
      <c r="V597" s="692"/>
      <c r="W597" s="692"/>
      <c r="X597" s="692"/>
      <c r="Y597" s="692"/>
    </row>
    <row r="598" spans="1:26" ht="15" customHeight="1">
      <c r="A598" s="245">
        <v>45007</v>
      </c>
      <c r="B598" s="692" t="s">
        <v>808</v>
      </c>
      <c r="C598" s="700" t="s">
        <v>27</v>
      </c>
      <c r="D598" s="754" t="s">
        <v>803</v>
      </c>
      <c r="E598" s="754"/>
      <c r="F598" s="754"/>
      <c r="G598" s="754"/>
      <c r="H598" s="229">
        <v>24.445</v>
      </c>
      <c r="I598" s="197">
        <v>23.47</v>
      </c>
      <c r="J598" s="695"/>
      <c r="K598" s="695"/>
      <c r="L598" s="234"/>
      <c r="M598" s="234"/>
      <c r="N598" s="234"/>
      <c r="O598" s="692"/>
      <c r="P598" s="692"/>
      <c r="Q598" s="197" t="s">
        <v>808</v>
      </c>
      <c r="R598" s="197" t="s">
        <v>808</v>
      </c>
      <c r="T598" s="692"/>
      <c r="U598" s="692"/>
      <c r="V598" s="692"/>
      <c r="W598" s="692"/>
      <c r="X598" s="692"/>
      <c r="Y598" s="692"/>
      <c r="Z598" s="163" t="s">
        <v>809</v>
      </c>
    </row>
    <row r="599" spans="1:26">
      <c r="A599" s="245">
        <v>45007</v>
      </c>
      <c r="B599" s="246">
        <v>0.44444444444444442</v>
      </c>
      <c r="C599" s="700" t="s">
        <v>25</v>
      </c>
      <c r="D599" s="754"/>
      <c r="E599" s="754"/>
      <c r="F599" s="754"/>
      <c r="G599" s="754"/>
      <c r="H599" s="229">
        <v>24.445</v>
      </c>
      <c r="I599" s="197">
        <v>23.47</v>
      </c>
      <c r="J599" s="692"/>
      <c r="K599" s="692"/>
      <c r="L599" s="692"/>
      <c r="M599" s="692"/>
      <c r="N599" s="692"/>
      <c r="O599" s="229" t="s">
        <v>40</v>
      </c>
      <c r="P599" s="692"/>
      <c r="Q599" s="692"/>
      <c r="R599" s="692"/>
      <c r="S599" s="306">
        <v>103826</v>
      </c>
      <c r="T599" s="692"/>
      <c r="U599" s="197">
        <v>2.35E-2</v>
      </c>
      <c r="V599" s="197">
        <v>-1.4200000000000001E-2</v>
      </c>
      <c r="W599" s="692"/>
      <c r="X599" s="692"/>
      <c r="Y599" s="692"/>
    </row>
    <row r="600" spans="1:26">
      <c r="A600" s="245">
        <v>45007</v>
      </c>
      <c r="B600" s="246">
        <v>0.4465277777777778</v>
      </c>
      <c r="C600" s="700" t="s">
        <v>25</v>
      </c>
      <c r="D600" s="754"/>
      <c r="E600" s="754"/>
      <c r="F600" s="754"/>
      <c r="G600" s="754"/>
      <c r="H600" s="229">
        <v>24.445</v>
      </c>
      <c r="I600" s="197">
        <v>23.47</v>
      </c>
      <c r="J600" s="692"/>
      <c r="K600" s="692"/>
      <c r="L600" s="692"/>
      <c r="M600" s="692"/>
      <c r="N600" s="692"/>
      <c r="O600" s="229" t="s">
        <v>40</v>
      </c>
      <c r="P600" s="692"/>
      <c r="Q600" s="692"/>
      <c r="R600" s="692"/>
      <c r="S600" s="306">
        <v>104159</v>
      </c>
      <c r="T600" s="692"/>
      <c r="U600" s="197">
        <v>2.2499999999999999E-2</v>
      </c>
      <c r="V600" s="197">
        <v>-1.14E-2</v>
      </c>
      <c r="W600" s="692"/>
      <c r="X600" s="692"/>
      <c r="Y600" s="692"/>
    </row>
    <row r="601" spans="1:26">
      <c r="A601" s="245">
        <v>45007</v>
      </c>
      <c r="B601" s="246">
        <v>0.44166666666666665</v>
      </c>
      <c r="C601" s="700" t="s">
        <v>752</v>
      </c>
      <c r="D601" s="754"/>
      <c r="E601" s="754"/>
      <c r="F601" s="754"/>
      <c r="G601" s="754"/>
      <c r="H601" s="229">
        <v>24.445</v>
      </c>
      <c r="I601" s="197">
        <v>23.47</v>
      </c>
      <c r="J601" s="692"/>
      <c r="K601" s="692"/>
      <c r="L601" s="692"/>
      <c r="M601" s="692"/>
      <c r="N601" s="692"/>
      <c r="O601" s="229" t="s">
        <v>52</v>
      </c>
      <c r="P601" s="692"/>
      <c r="Q601" s="692"/>
      <c r="R601" s="692"/>
      <c r="S601" s="306">
        <v>103439</v>
      </c>
      <c r="T601" s="692"/>
      <c r="U601" s="692"/>
      <c r="V601" s="692"/>
      <c r="W601" s="229">
        <v>783.8</v>
      </c>
      <c r="X601" s="229">
        <v>604.6</v>
      </c>
      <c r="Y601" s="692"/>
    </row>
    <row r="602" spans="1:26" ht="14.85" customHeight="1">
      <c r="A602" s="245">
        <v>45008</v>
      </c>
      <c r="B602" s="246">
        <v>4.0972222222222222E-2</v>
      </c>
      <c r="C602" s="700" t="s">
        <v>25</v>
      </c>
      <c r="D602" s="754" t="s">
        <v>803</v>
      </c>
      <c r="E602" s="754"/>
      <c r="F602" s="754"/>
      <c r="G602" s="754"/>
      <c r="H602" s="145">
        <v>24.425999999999998</v>
      </c>
      <c r="I602" s="145">
        <v>23.425999999999998</v>
      </c>
      <c r="J602" s="695"/>
      <c r="K602" s="695"/>
      <c r="L602" s="234"/>
      <c r="M602" s="234"/>
      <c r="N602" s="234"/>
      <c r="O602" s="692"/>
      <c r="P602" s="692"/>
      <c r="Q602" s="197">
        <v>15</v>
      </c>
      <c r="R602" s="197">
        <v>4.0169240000000004</v>
      </c>
      <c r="T602" s="692"/>
      <c r="U602" s="692"/>
      <c r="V602" s="692"/>
      <c r="W602" s="692"/>
      <c r="X602" s="692"/>
      <c r="Y602" s="692"/>
    </row>
    <row r="603" spans="1:26">
      <c r="A603" s="245">
        <v>45008</v>
      </c>
      <c r="B603" s="246">
        <v>2.2222222222222223E-2</v>
      </c>
      <c r="C603" s="700" t="s">
        <v>25</v>
      </c>
      <c r="D603" s="754"/>
      <c r="E603" s="754"/>
      <c r="F603" s="754"/>
      <c r="G603" s="754"/>
      <c r="H603" s="145">
        <v>24.440999999999999</v>
      </c>
      <c r="I603" s="145">
        <v>23.431000000000001</v>
      </c>
      <c r="J603" s="692"/>
      <c r="K603" s="692"/>
      <c r="L603" s="692"/>
      <c r="M603" s="692"/>
      <c r="N603" s="692"/>
      <c r="O603" s="229" t="s">
        <v>60</v>
      </c>
      <c r="P603" s="692"/>
      <c r="Q603" s="692"/>
      <c r="R603" s="692"/>
      <c r="S603" s="306">
        <v>2541</v>
      </c>
      <c r="T603" s="692"/>
      <c r="U603" s="197">
        <v>1.9699999999999999E-2</v>
      </c>
      <c r="V603" s="197">
        <v>-1.49E-2</v>
      </c>
      <c r="W603" s="692"/>
      <c r="X603" s="692"/>
      <c r="Y603" s="692"/>
      <c r="Z603" s="247"/>
    </row>
    <row r="604" spans="1:26">
      <c r="A604" s="245">
        <v>45008</v>
      </c>
      <c r="B604" s="246">
        <v>1.5277777777777777E-2</v>
      </c>
      <c r="C604" s="700" t="s">
        <v>752</v>
      </c>
      <c r="D604" s="754"/>
      <c r="E604" s="754"/>
      <c r="F604" s="754"/>
      <c r="G604" s="754"/>
      <c r="H604" s="145">
        <v>24.440999999999999</v>
      </c>
      <c r="I604" s="145">
        <v>23.431000000000001</v>
      </c>
      <c r="J604" s="692"/>
      <c r="K604" s="692"/>
      <c r="L604" s="692"/>
      <c r="M604" s="692"/>
      <c r="N604" s="692"/>
      <c r="O604" s="229" t="s">
        <v>67</v>
      </c>
      <c r="P604" s="692"/>
      <c r="Q604" s="692"/>
      <c r="R604" s="692"/>
      <c r="S604" s="306">
        <v>1828</v>
      </c>
      <c r="T604" s="692"/>
      <c r="U604" s="692"/>
      <c r="V604" s="692"/>
      <c r="W604" s="229">
        <v>783.6</v>
      </c>
      <c r="X604" s="229">
        <v>596.79999999999995</v>
      </c>
      <c r="Y604" s="692"/>
    </row>
    <row r="605" spans="1:26" ht="14.85" customHeight="1">
      <c r="A605" s="245">
        <v>45008</v>
      </c>
      <c r="B605" s="246">
        <v>4.1666666666666664E-2</v>
      </c>
      <c r="C605" s="700" t="s">
        <v>25</v>
      </c>
      <c r="D605" s="754"/>
      <c r="E605" s="754"/>
      <c r="F605" s="754"/>
      <c r="G605" s="754"/>
      <c r="H605" s="145">
        <v>24.434000000000001</v>
      </c>
      <c r="I605" s="145">
        <v>23.425999999999998</v>
      </c>
      <c r="J605" s="695"/>
      <c r="K605" s="695"/>
      <c r="L605" s="234"/>
      <c r="M605" s="234"/>
      <c r="N605" s="234"/>
      <c r="O605" s="692"/>
      <c r="P605" s="692"/>
      <c r="Q605" s="197">
        <v>41</v>
      </c>
      <c r="R605" s="197">
        <v>4.0170279999999998</v>
      </c>
      <c r="T605" s="692"/>
      <c r="U605" s="692"/>
      <c r="V605" s="692"/>
      <c r="W605" s="692"/>
      <c r="X605" s="692"/>
      <c r="Y605" s="692"/>
    </row>
    <row r="606" spans="1:26">
      <c r="A606" s="245">
        <v>45008</v>
      </c>
      <c r="B606" s="246">
        <v>9.4444444444444442E-2</v>
      </c>
      <c r="C606" s="700" t="s">
        <v>25</v>
      </c>
      <c r="D606" s="754"/>
      <c r="E606" s="754"/>
      <c r="F606" s="754"/>
      <c r="G606" s="754"/>
      <c r="H606" s="145">
        <v>24.423999999999999</v>
      </c>
      <c r="I606" s="145">
        <v>23.443000000000001</v>
      </c>
      <c r="J606" s="692"/>
      <c r="K606" s="692"/>
      <c r="L606" s="692"/>
      <c r="M606" s="692"/>
      <c r="N606" s="692"/>
      <c r="O606" s="229" t="s">
        <v>51</v>
      </c>
      <c r="P606" s="692"/>
      <c r="Q606" s="692"/>
      <c r="R606" s="692"/>
      <c r="S606" s="306">
        <v>21600</v>
      </c>
      <c r="T606" s="692"/>
      <c r="U606" s="197">
        <v>1.7999999999999999E-2</v>
      </c>
      <c r="V606" s="197">
        <v>-1.4200000000000001E-2</v>
      </c>
      <c r="W606" s="692"/>
      <c r="X606" s="692"/>
      <c r="Y606" s="692"/>
      <c r="Z606" s="247"/>
    </row>
    <row r="607" spans="1:26">
      <c r="A607" s="245">
        <v>45008</v>
      </c>
      <c r="B607" s="246">
        <v>9.8611111111111108E-2</v>
      </c>
      <c r="C607" s="700" t="s">
        <v>752</v>
      </c>
      <c r="D607" s="754"/>
      <c r="E607" s="754"/>
      <c r="F607" s="754"/>
      <c r="G607" s="754"/>
      <c r="H607" s="145">
        <v>24.423999999999999</v>
      </c>
      <c r="I607" s="145">
        <v>23.443000000000001</v>
      </c>
      <c r="J607" s="692"/>
      <c r="K607" s="692"/>
      <c r="L607" s="692"/>
      <c r="M607" s="692"/>
      <c r="N607" s="692"/>
      <c r="O607" s="229" t="s">
        <v>323</v>
      </c>
      <c r="P607" s="692"/>
      <c r="Q607" s="692"/>
      <c r="R607" s="692"/>
      <c r="S607" s="306">
        <v>21749</v>
      </c>
      <c r="T607" s="692"/>
      <c r="U607" s="692"/>
      <c r="V607" s="692"/>
      <c r="W607" s="229">
        <v>784.5</v>
      </c>
      <c r="X607" s="229">
        <v>595.79999999999995</v>
      </c>
      <c r="Y607" s="692"/>
    </row>
    <row r="608" spans="1:26">
      <c r="A608" s="245">
        <v>45008</v>
      </c>
      <c r="B608" s="246">
        <v>0.13819444444444443</v>
      </c>
      <c r="C608" s="700" t="s">
        <v>25</v>
      </c>
      <c r="D608" s="754"/>
      <c r="E608" s="754"/>
      <c r="F608" s="754"/>
      <c r="G608" s="754"/>
      <c r="H608" s="145">
        <v>24.423999999999999</v>
      </c>
      <c r="I608" s="145">
        <v>23.443000000000001</v>
      </c>
      <c r="J608" s="692"/>
      <c r="K608" s="692"/>
      <c r="L608" s="692"/>
      <c r="M608" s="692"/>
      <c r="N608" s="692"/>
      <c r="O608" s="229" t="s">
        <v>51</v>
      </c>
      <c r="P608" s="692"/>
      <c r="Q608" s="692"/>
      <c r="R608" s="692"/>
      <c r="S608" s="306">
        <v>31626</v>
      </c>
      <c r="T608" s="692"/>
      <c r="U608" s="197">
        <v>1.8700000000000001E-2</v>
      </c>
      <c r="V608" s="197">
        <v>-1.35E-2</v>
      </c>
      <c r="W608" s="692"/>
      <c r="X608" s="692"/>
      <c r="Y608" s="692"/>
      <c r="Z608" s="247"/>
    </row>
    <row r="609" spans="1:26">
      <c r="A609" s="245">
        <v>45008</v>
      </c>
      <c r="B609" s="246">
        <v>0.13680555555555554</v>
      </c>
      <c r="C609" s="700" t="s">
        <v>752</v>
      </c>
      <c r="D609" s="754"/>
      <c r="E609" s="754"/>
      <c r="F609" s="754"/>
      <c r="G609" s="754"/>
      <c r="H609" s="145">
        <v>24.423999999999999</v>
      </c>
      <c r="I609" s="145">
        <v>23.443000000000001</v>
      </c>
      <c r="J609" s="692"/>
      <c r="K609" s="692"/>
      <c r="L609" s="692"/>
      <c r="M609" s="692"/>
      <c r="N609" s="692"/>
      <c r="O609" s="229" t="s">
        <v>323</v>
      </c>
      <c r="P609" s="692"/>
      <c r="Q609" s="692"/>
      <c r="R609" s="692"/>
      <c r="S609" s="306">
        <v>31526</v>
      </c>
      <c r="T609" s="692"/>
      <c r="U609" s="692"/>
      <c r="V609" s="692"/>
      <c r="W609" s="229">
        <v>784.6</v>
      </c>
      <c r="X609" s="229">
        <v>594.79999999999995</v>
      </c>
      <c r="Y609" s="692"/>
    </row>
    <row r="610" spans="1:26">
      <c r="A610" s="245">
        <v>45008</v>
      </c>
      <c r="B610" s="246">
        <v>0.20625000000000002</v>
      </c>
      <c r="C610" s="700" t="s">
        <v>25</v>
      </c>
      <c r="D610" s="754"/>
      <c r="E610" s="754"/>
      <c r="F610" s="754"/>
      <c r="G610" s="754"/>
      <c r="H610" s="145">
        <v>24.423999999999999</v>
      </c>
      <c r="I610" s="145">
        <v>23.443000000000001</v>
      </c>
      <c r="J610" s="692"/>
      <c r="K610" s="692"/>
      <c r="L610" s="692"/>
      <c r="M610" s="692"/>
      <c r="N610" s="692"/>
      <c r="O610" s="229" t="s">
        <v>626</v>
      </c>
      <c r="P610" s="692"/>
      <c r="Q610" s="692"/>
      <c r="R610" s="692"/>
      <c r="S610" s="306">
        <v>45509</v>
      </c>
      <c r="T610" s="692"/>
      <c r="U610" s="197">
        <v>1.8700000000000001E-2</v>
      </c>
      <c r="V610" s="197">
        <v>-1.3100000000000001E-2</v>
      </c>
      <c r="W610" s="692"/>
      <c r="X610" s="692"/>
      <c r="Y610" s="692"/>
      <c r="Z610" s="247"/>
    </row>
    <row r="611" spans="1:26">
      <c r="A611" s="245">
        <v>45008</v>
      </c>
      <c r="B611" s="246">
        <v>0.2076388888888889</v>
      </c>
      <c r="C611" s="700" t="s">
        <v>752</v>
      </c>
      <c r="D611" s="754"/>
      <c r="E611" s="754"/>
      <c r="F611" s="754"/>
      <c r="G611" s="754"/>
      <c r="H611" s="145">
        <v>24.423999999999999</v>
      </c>
      <c r="I611" s="145">
        <v>23.443000000000001</v>
      </c>
      <c r="J611" s="692"/>
      <c r="K611" s="692"/>
      <c r="L611" s="692"/>
      <c r="M611" s="692"/>
      <c r="N611" s="692"/>
      <c r="O611" s="229" t="s">
        <v>323</v>
      </c>
      <c r="P611" s="692"/>
      <c r="Q611" s="692"/>
      <c r="R611" s="692"/>
      <c r="S611" s="306">
        <v>45738</v>
      </c>
      <c r="T611" s="692"/>
      <c r="U611" s="692"/>
      <c r="V611" s="692"/>
      <c r="W611" s="229">
        <v>784.6</v>
      </c>
      <c r="X611" s="229">
        <v>594.79999999999995</v>
      </c>
      <c r="Y611" s="692"/>
    </row>
    <row r="612" spans="1:26">
      <c r="A612" s="245">
        <v>45008</v>
      </c>
      <c r="B612" s="246">
        <v>0.27430555555555552</v>
      </c>
      <c r="C612" s="700" t="s">
        <v>25</v>
      </c>
      <c r="D612" s="754"/>
      <c r="E612" s="754"/>
      <c r="F612" s="754"/>
      <c r="G612" s="754"/>
      <c r="H612" s="145">
        <v>24.423999999999999</v>
      </c>
      <c r="I612" s="145">
        <v>23.443000000000001</v>
      </c>
      <c r="J612" s="692"/>
      <c r="K612" s="692"/>
      <c r="L612" s="692"/>
      <c r="M612" s="692"/>
      <c r="N612" s="692"/>
      <c r="O612" s="229" t="s">
        <v>626</v>
      </c>
      <c r="P612" s="692"/>
      <c r="Q612" s="692"/>
      <c r="R612" s="692"/>
      <c r="S612" s="306">
        <v>63236</v>
      </c>
      <c r="T612" s="692"/>
      <c r="U612" s="197">
        <v>1.7999999999999999E-2</v>
      </c>
      <c r="V612" s="197">
        <v>-1.3100000000000001E-2</v>
      </c>
      <c r="W612" s="692"/>
      <c r="X612" s="692"/>
      <c r="Y612" s="692"/>
      <c r="Z612" s="247"/>
    </row>
    <row r="613" spans="1:26">
      <c r="A613" s="245">
        <v>45008</v>
      </c>
      <c r="B613" s="246">
        <v>0.2722222222222222</v>
      </c>
      <c r="C613" s="700" t="s">
        <v>752</v>
      </c>
      <c r="D613" s="754"/>
      <c r="E613" s="754"/>
      <c r="F613" s="754"/>
      <c r="G613" s="754"/>
      <c r="H613" s="145">
        <v>24.423999999999999</v>
      </c>
      <c r="I613" s="145">
        <v>23.443000000000001</v>
      </c>
      <c r="J613" s="692"/>
      <c r="K613" s="692"/>
      <c r="L613" s="692"/>
      <c r="M613" s="692"/>
      <c r="N613" s="692"/>
      <c r="O613" s="229" t="s">
        <v>323</v>
      </c>
      <c r="P613" s="692"/>
      <c r="Q613" s="692"/>
      <c r="R613" s="692"/>
      <c r="S613" s="306">
        <v>63047</v>
      </c>
      <c r="T613" s="692"/>
      <c r="U613" s="692"/>
      <c r="V613" s="692"/>
      <c r="W613" s="229">
        <v>784.6</v>
      </c>
      <c r="X613" s="229">
        <v>594.79999999999995</v>
      </c>
      <c r="Y613" s="692"/>
    </row>
    <row r="614" spans="1:26" ht="14.85" customHeight="1">
      <c r="A614" s="245">
        <v>45008</v>
      </c>
      <c r="B614" s="246">
        <v>0.27708333333333335</v>
      </c>
      <c r="C614" s="700" t="s">
        <v>25</v>
      </c>
      <c r="D614" s="754"/>
      <c r="E614" s="754"/>
      <c r="F614" s="754"/>
      <c r="G614" s="754"/>
      <c r="H614" s="145">
        <v>24.423999999999999</v>
      </c>
      <c r="I614" s="145">
        <v>23.422999999999998</v>
      </c>
      <c r="J614" s="695"/>
      <c r="K614" s="695"/>
      <c r="L614" s="234"/>
      <c r="M614" s="234"/>
      <c r="N614" s="234"/>
      <c r="O614" s="692"/>
      <c r="P614" s="692"/>
      <c r="Q614" s="197">
        <v>17</v>
      </c>
      <c r="R614" s="252">
        <v>4.01715</v>
      </c>
      <c r="T614" s="692"/>
      <c r="U614" s="692"/>
      <c r="V614" s="692"/>
      <c r="W614" s="692"/>
      <c r="X614" s="692"/>
      <c r="Y614" s="692"/>
    </row>
    <row r="615" spans="1:26" ht="14.85" customHeight="1">
      <c r="A615" s="245">
        <v>45008</v>
      </c>
      <c r="B615" s="246">
        <v>0.27986111111111112</v>
      </c>
      <c r="C615" s="700" t="s">
        <v>25</v>
      </c>
      <c r="D615" s="754"/>
      <c r="E615" s="754"/>
      <c r="F615" s="754"/>
      <c r="G615" s="754"/>
      <c r="H615" s="145">
        <v>24.423999999999999</v>
      </c>
      <c r="I615" s="145">
        <v>23.422999999999998</v>
      </c>
      <c r="J615" s="695"/>
      <c r="K615" s="695"/>
      <c r="L615" s="234"/>
      <c r="M615" s="234"/>
      <c r="N615" s="234"/>
      <c r="O615" s="692"/>
      <c r="P615" s="692"/>
      <c r="Q615" s="197">
        <v>25</v>
      </c>
      <c r="R615" s="197">
        <v>4.0170180000000002</v>
      </c>
      <c r="T615" s="692"/>
      <c r="U615" s="692"/>
      <c r="V615" s="692"/>
      <c r="W615" s="692"/>
      <c r="X615" s="692"/>
      <c r="Y615" s="692"/>
    </row>
    <row r="616" spans="1:26" ht="14.85" customHeight="1">
      <c r="A616" s="245">
        <v>45008</v>
      </c>
      <c r="B616" s="246">
        <v>0.28194444444444444</v>
      </c>
      <c r="C616" s="700" t="s">
        <v>25</v>
      </c>
      <c r="D616" s="754"/>
      <c r="E616" s="754"/>
      <c r="F616" s="754"/>
      <c r="G616" s="754"/>
      <c r="H616" s="145">
        <v>24.423999999999999</v>
      </c>
      <c r="I616" s="145">
        <v>23.422999999999998</v>
      </c>
      <c r="J616" s="695"/>
      <c r="K616" s="695"/>
      <c r="L616" s="234"/>
      <c r="M616" s="234"/>
      <c r="N616" s="234"/>
      <c r="O616" s="692"/>
      <c r="P616" s="692"/>
      <c r="Q616" s="197">
        <v>6</v>
      </c>
      <c r="R616" s="197">
        <v>4.0169810000000004</v>
      </c>
      <c r="T616" s="692"/>
      <c r="U616" s="692"/>
      <c r="V616" s="692"/>
      <c r="W616" s="692"/>
      <c r="X616" s="692"/>
      <c r="Y616" s="692"/>
    </row>
    <row r="617" spans="1:26" ht="41.45">
      <c r="A617" s="694" t="s">
        <v>0</v>
      </c>
      <c r="B617" s="694"/>
      <c r="C617" s="261" t="s">
        <v>375</v>
      </c>
      <c r="D617" s="751" t="s">
        <v>6</v>
      </c>
      <c r="E617" s="751"/>
      <c r="F617" s="751" t="s">
        <v>7</v>
      </c>
      <c r="G617" s="751"/>
      <c r="H617" s="751" t="s">
        <v>8</v>
      </c>
      <c r="I617" s="751"/>
      <c r="J617" s="694" t="s">
        <v>629</v>
      </c>
      <c r="K617" s="694" t="s">
        <v>630</v>
      </c>
      <c r="L617" s="694" t="s">
        <v>631</v>
      </c>
      <c r="M617" s="694" t="s">
        <v>632</v>
      </c>
      <c r="N617" s="694" t="s">
        <v>633</v>
      </c>
      <c r="O617" s="694" t="s">
        <v>14</v>
      </c>
      <c r="P617" s="694" t="s">
        <v>595</v>
      </c>
      <c r="Q617" s="694" t="s">
        <v>15</v>
      </c>
      <c r="R617" s="694" t="s">
        <v>16</v>
      </c>
      <c r="S617" s="290" t="s">
        <v>17</v>
      </c>
      <c r="T617" s="694" t="s">
        <v>419</v>
      </c>
      <c r="U617" s="242" t="s">
        <v>799</v>
      </c>
      <c r="V617" s="242" t="s">
        <v>800</v>
      </c>
      <c r="W617" s="694" t="s">
        <v>359</v>
      </c>
      <c r="X617" s="694" t="s">
        <v>360</v>
      </c>
      <c r="Y617" s="692"/>
    </row>
    <row r="618" spans="1:26" ht="14.85" customHeight="1">
      <c r="A618" s="245">
        <v>45008</v>
      </c>
      <c r="B618" s="246">
        <v>0.3756944444444445</v>
      </c>
      <c r="C618" s="700" t="s">
        <v>810</v>
      </c>
      <c r="D618" s="692"/>
      <c r="E618" s="692"/>
      <c r="F618" s="692"/>
      <c r="G618" s="692"/>
      <c r="H618" s="145">
        <v>24.423999999999999</v>
      </c>
      <c r="I618" s="145">
        <v>23.422999999999998</v>
      </c>
      <c r="J618" s="695"/>
      <c r="K618" s="695"/>
      <c r="L618" s="234"/>
      <c r="M618" s="234"/>
      <c r="N618" s="234"/>
      <c r="O618" s="692"/>
      <c r="P618" s="692"/>
      <c r="Q618" s="197">
        <v>16</v>
      </c>
      <c r="R618" s="197">
        <v>4.0169509999999997</v>
      </c>
      <c r="T618" s="692"/>
      <c r="U618" s="692"/>
      <c r="V618" s="692"/>
      <c r="W618" s="692"/>
      <c r="X618" s="692"/>
      <c r="Y618" s="692"/>
    </row>
    <row r="619" spans="1:26">
      <c r="A619" s="245">
        <v>45008</v>
      </c>
      <c r="B619" s="246">
        <v>0.39930555555555558</v>
      </c>
      <c r="C619" s="700" t="s">
        <v>25</v>
      </c>
      <c r="D619" s="692"/>
      <c r="E619" s="692"/>
      <c r="F619" s="692"/>
      <c r="G619" s="692"/>
      <c r="H619" s="145">
        <v>24.423999999999999</v>
      </c>
      <c r="I619" s="145">
        <v>23.422999999999998</v>
      </c>
      <c r="J619" s="692"/>
      <c r="K619" s="692"/>
      <c r="L619" s="692"/>
      <c r="M619" s="692"/>
      <c r="N619" s="692"/>
      <c r="O619" s="229" t="s">
        <v>626</v>
      </c>
      <c r="P619" s="692"/>
      <c r="Q619" s="692"/>
      <c r="R619" s="692"/>
      <c r="S619" s="306">
        <v>93539</v>
      </c>
      <c r="T619" s="692"/>
      <c r="U619" s="197">
        <v>1.83E-2</v>
      </c>
      <c r="V619" s="197">
        <v>-1.35E-2</v>
      </c>
      <c r="W619" s="692"/>
      <c r="X619" s="692"/>
      <c r="Y619" s="692"/>
      <c r="Z619" s="247" t="s">
        <v>811</v>
      </c>
    </row>
    <row r="620" spans="1:26">
      <c r="A620" s="245">
        <v>45008</v>
      </c>
      <c r="B620" s="246">
        <v>0.41250000000000003</v>
      </c>
      <c r="C620" s="700" t="s">
        <v>752</v>
      </c>
      <c r="D620" s="692"/>
      <c r="E620" s="692"/>
      <c r="F620" s="692"/>
      <c r="G620" s="692"/>
      <c r="H620" s="145">
        <v>24.423999999999999</v>
      </c>
      <c r="I620" s="145">
        <v>23.422999999999998</v>
      </c>
      <c r="J620" s="692"/>
      <c r="K620" s="692"/>
      <c r="L620" s="692"/>
      <c r="M620" s="692"/>
      <c r="N620" s="692"/>
      <c r="O620" s="229" t="s">
        <v>72</v>
      </c>
      <c r="P620" s="692"/>
      <c r="Q620" s="692"/>
      <c r="R620" s="692"/>
      <c r="S620" s="306">
        <v>95220</v>
      </c>
      <c r="T620" s="692"/>
      <c r="U620" s="692"/>
      <c r="V620" s="692"/>
      <c r="W620" s="229">
        <v>781.7</v>
      </c>
      <c r="X620" s="229">
        <v>593.79999999999995</v>
      </c>
      <c r="Y620" s="692"/>
    </row>
    <row r="621" spans="1:26" ht="15" customHeight="1">
      <c r="A621" s="245">
        <v>45008</v>
      </c>
      <c r="B621" s="246">
        <v>0.44513888888888892</v>
      </c>
      <c r="C621" s="700" t="s">
        <v>812</v>
      </c>
      <c r="D621" s="692"/>
      <c r="E621" s="692"/>
      <c r="F621" s="692"/>
      <c r="G621" s="692"/>
      <c r="H621" s="145">
        <v>24.425999999999998</v>
      </c>
      <c r="I621" s="145">
        <v>23.431000000000001</v>
      </c>
      <c r="J621" s="692"/>
      <c r="K621" s="692"/>
      <c r="L621" s="692"/>
      <c r="M621" s="692"/>
      <c r="N621" s="692"/>
      <c r="O621" s="692"/>
      <c r="P621" s="692"/>
      <c r="Q621" s="229">
        <v>7</v>
      </c>
      <c r="R621" s="253">
        <v>4.0169610000000002</v>
      </c>
      <c r="T621" s="692"/>
      <c r="U621" s="692"/>
      <c r="V621" s="692"/>
      <c r="W621" s="692"/>
      <c r="X621" s="692"/>
      <c r="Y621" s="692"/>
    </row>
    <row r="622" spans="1:26" ht="20.45">
      <c r="A622" s="245">
        <v>45008</v>
      </c>
      <c r="B622" s="254">
        <v>0.44722222222222219</v>
      </c>
      <c r="C622" s="700" t="s">
        <v>813</v>
      </c>
      <c r="D622" s="692"/>
      <c r="E622" s="692"/>
      <c r="F622" s="692"/>
      <c r="G622" s="692"/>
      <c r="H622" s="229">
        <v>24.431000000000001</v>
      </c>
      <c r="I622" s="145">
        <v>23.431000000000001</v>
      </c>
      <c r="J622" s="692"/>
      <c r="K622" s="692"/>
      <c r="L622" s="692"/>
      <c r="M622" s="692"/>
      <c r="N622" s="692"/>
      <c r="O622" s="692"/>
      <c r="P622" s="692"/>
      <c r="Q622" s="229">
        <v>17</v>
      </c>
      <c r="R622" s="229">
        <v>4.0169800000000002</v>
      </c>
      <c r="T622" s="692"/>
      <c r="U622" s="692"/>
      <c r="V622" s="692"/>
      <c r="W622" s="692"/>
      <c r="X622" s="692"/>
      <c r="Y622" s="692"/>
      <c r="Z622" s="163" t="s">
        <v>814</v>
      </c>
    </row>
    <row r="623" spans="1:26" ht="20.45">
      <c r="A623" s="245">
        <v>45008</v>
      </c>
      <c r="B623" s="254">
        <v>0.64027777777777783</v>
      </c>
      <c r="C623" s="700" t="s">
        <v>813</v>
      </c>
      <c r="D623" s="692"/>
      <c r="E623" s="692"/>
      <c r="F623" s="692"/>
      <c r="G623" s="692"/>
      <c r="H623" s="229">
        <v>24.425000000000001</v>
      </c>
      <c r="I623" s="145">
        <v>23.425000000000001</v>
      </c>
      <c r="J623" s="692"/>
      <c r="K623" s="692"/>
      <c r="L623" s="692"/>
      <c r="M623" s="692"/>
      <c r="N623" s="692"/>
      <c r="O623" s="692"/>
      <c r="P623" s="692"/>
      <c r="Q623" s="229">
        <v>10</v>
      </c>
      <c r="R623" s="229">
        <v>4.0169879999999996</v>
      </c>
      <c r="T623" s="692"/>
      <c r="U623" s="692"/>
      <c r="V623" s="692"/>
      <c r="W623" s="692"/>
      <c r="X623" s="692"/>
      <c r="Y623" s="692"/>
      <c r="Z623" s="163" t="s">
        <v>815</v>
      </c>
    </row>
    <row r="624" spans="1:26" ht="14.85" customHeight="1">
      <c r="A624" s="245">
        <v>45008</v>
      </c>
      <c r="B624" s="246">
        <v>0.64722222222222225</v>
      </c>
      <c r="C624" s="700" t="s">
        <v>27</v>
      </c>
      <c r="D624" s="692"/>
      <c r="E624" s="692"/>
      <c r="F624" s="692"/>
      <c r="G624" s="692"/>
      <c r="H624" s="145">
        <v>24.12</v>
      </c>
      <c r="I624" s="145">
        <v>23.695</v>
      </c>
      <c r="J624" s="695"/>
      <c r="K624" s="695"/>
      <c r="L624" s="234"/>
      <c r="M624" s="234"/>
      <c r="N624" s="234"/>
      <c r="O624" s="692"/>
      <c r="P624" s="692"/>
      <c r="Q624" s="197">
        <v>35</v>
      </c>
      <c r="R624" s="197">
        <v>4.0275230000000004</v>
      </c>
      <c r="T624" s="692"/>
      <c r="U624" s="692"/>
      <c r="V624" s="692"/>
      <c r="W624" s="692"/>
      <c r="X624" s="692"/>
      <c r="Y624" s="692"/>
    </row>
    <row r="625" spans="1:27">
      <c r="A625" s="245">
        <v>45008</v>
      </c>
      <c r="B625" s="246">
        <v>0.67013888888888884</v>
      </c>
      <c r="C625" s="700" t="s">
        <v>752</v>
      </c>
      <c r="D625" s="692"/>
      <c r="E625" s="692"/>
      <c r="F625" s="692"/>
      <c r="G625" s="692"/>
      <c r="H625" s="145">
        <v>24.423999999999999</v>
      </c>
      <c r="I625" s="145">
        <v>23.422999999999998</v>
      </c>
      <c r="J625" s="692"/>
      <c r="K625" s="692"/>
      <c r="L625" s="692"/>
      <c r="M625" s="692"/>
      <c r="N625" s="692"/>
      <c r="O625" s="229" t="s">
        <v>47</v>
      </c>
      <c r="P625" s="692"/>
      <c r="Q625" s="692"/>
      <c r="R625" s="692"/>
      <c r="S625" s="306">
        <v>60615</v>
      </c>
      <c r="T625" s="692"/>
      <c r="U625" s="692"/>
      <c r="V625" s="692"/>
      <c r="W625" s="229">
        <v>782.6</v>
      </c>
      <c r="X625" s="229">
        <v>593.66999999999996</v>
      </c>
      <c r="Y625" s="692"/>
    </row>
    <row r="626" spans="1:27">
      <c r="A626" s="245">
        <v>45008</v>
      </c>
      <c r="B626" s="246">
        <v>0.67291666666666661</v>
      </c>
      <c r="C626" s="700" t="s">
        <v>25</v>
      </c>
      <c r="D626" s="692"/>
      <c r="E626" s="692"/>
      <c r="F626" s="692"/>
      <c r="G626" s="692"/>
      <c r="H626" s="145">
        <v>24.423999999999999</v>
      </c>
      <c r="I626" s="145">
        <v>23.422999999999998</v>
      </c>
      <c r="J626" s="692"/>
      <c r="K626" s="692"/>
      <c r="L626" s="692"/>
      <c r="M626" s="692"/>
      <c r="N626" s="692"/>
      <c r="O626" s="229" t="s">
        <v>51</v>
      </c>
      <c r="P626" s="692"/>
      <c r="Q626" s="692"/>
      <c r="R626" s="692"/>
      <c r="S626" s="306">
        <v>62036</v>
      </c>
      <c r="T626" s="692"/>
      <c r="U626" s="197">
        <v>1.6199999999999999E-2</v>
      </c>
      <c r="V626" s="197">
        <v>-1.4200000000000001E-2</v>
      </c>
      <c r="W626" s="692"/>
      <c r="X626" s="692"/>
      <c r="Y626" s="692"/>
      <c r="Z626" s="247"/>
    </row>
    <row r="627" spans="1:27">
      <c r="A627" s="245">
        <v>45008</v>
      </c>
      <c r="B627" s="254">
        <v>0.73611111111111116</v>
      </c>
      <c r="C627" s="700" t="s">
        <v>31</v>
      </c>
      <c r="D627" s="229"/>
      <c r="E627" s="229"/>
      <c r="F627" s="229"/>
      <c r="G627" s="229"/>
      <c r="H627" s="229"/>
      <c r="I627" s="197"/>
      <c r="J627" s="197">
        <v>101.506</v>
      </c>
      <c r="K627" s="197">
        <v>125.71299999999999</v>
      </c>
      <c r="L627" s="197">
        <v>0</v>
      </c>
      <c r="M627" s="197">
        <v>0.10059999999999999</v>
      </c>
      <c r="N627" s="197">
        <v>8.94E-3</v>
      </c>
      <c r="O627" s="199"/>
      <c r="P627" s="692"/>
      <c r="Q627" s="692"/>
      <c r="R627" s="692"/>
      <c r="S627" s="301">
        <v>73820</v>
      </c>
      <c r="T627" s="692"/>
      <c r="U627" s="228">
        <v>1.6899999999999998E-2</v>
      </c>
      <c r="V627" s="228">
        <v>-1.3100000000000001E-2</v>
      </c>
      <c r="W627" s="692"/>
      <c r="X627" s="692"/>
      <c r="Y627" s="692"/>
    </row>
    <row r="628" spans="1:27">
      <c r="A628" s="245">
        <v>45008</v>
      </c>
      <c r="B628" s="246">
        <v>0.7416666666666667</v>
      </c>
      <c r="C628" s="700" t="s">
        <v>816</v>
      </c>
      <c r="D628" s="692"/>
      <c r="E628" s="692"/>
      <c r="F628" s="692"/>
      <c r="G628" s="692"/>
      <c r="H628" s="145">
        <v>24.422000000000001</v>
      </c>
      <c r="I628" s="145">
        <v>23.422999999999998</v>
      </c>
      <c r="J628" s="197">
        <v>101.506</v>
      </c>
      <c r="K628" s="197">
        <v>125.71299999999999</v>
      </c>
      <c r="L628" s="197">
        <v>0</v>
      </c>
      <c r="M628" s="197">
        <v>0.10059999999999999</v>
      </c>
      <c r="N628" s="197">
        <v>8.94E-3</v>
      </c>
      <c r="O628" s="692"/>
      <c r="P628" s="692"/>
      <c r="Q628" s="197">
        <v>7</v>
      </c>
      <c r="R628" s="197">
        <v>3.4685950000000001</v>
      </c>
      <c r="T628" s="692"/>
      <c r="U628" s="692"/>
      <c r="V628" s="692"/>
      <c r="W628" s="692"/>
      <c r="X628" s="692"/>
      <c r="Y628" s="692"/>
      <c r="Z628" s="163" t="s">
        <v>817</v>
      </c>
    </row>
    <row r="629" spans="1:27">
      <c r="A629" s="245">
        <v>45008</v>
      </c>
      <c r="B629" s="246">
        <v>0.75</v>
      </c>
      <c r="C629" s="700" t="s">
        <v>32</v>
      </c>
      <c r="D629" s="229"/>
      <c r="E629" s="229"/>
      <c r="F629" s="229"/>
      <c r="G629" s="229"/>
      <c r="H629" s="145">
        <v>24.422000000000001</v>
      </c>
      <c r="I629" s="145">
        <v>23.422999999999998</v>
      </c>
      <c r="J629" s="197">
        <v>88.238</v>
      </c>
      <c r="K629" s="197">
        <v>109.10899999999999</v>
      </c>
      <c r="L629" s="197">
        <v>0</v>
      </c>
      <c r="M629" s="197">
        <v>0.1008</v>
      </c>
      <c r="N629" s="197">
        <v>8.9499999999999996E-2</v>
      </c>
      <c r="O629" s="199">
        <v>1138</v>
      </c>
      <c r="P629" s="692"/>
      <c r="Q629" s="692"/>
      <c r="R629" s="692"/>
      <c r="S629" s="301">
        <v>75755</v>
      </c>
      <c r="T629" s="692"/>
      <c r="U629" s="692"/>
      <c r="V629" s="692"/>
      <c r="W629" s="255">
        <v>782.8</v>
      </c>
      <c r="X629" s="255">
        <v>594.29999999999995</v>
      </c>
      <c r="Y629" s="692"/>
    </row>
    <row r="630" spans="1:27">
      <c r="A630" s="245">
        <v>45008</v>
      </c>
      <c r="B630" s="254">
        <v>0.75277777777777777</v>
      </c>
      <c r="C630" s="700" t="s">
        <v>796</v>
      </c>
      <c r="D630" s="229"/>
      <c r="E630" s="229"/>
      <c r="F630" s="229"/>
      <c r="G630" s="229"/>
      <c r="H630" s="145">
        <v>24.12</v>
      </c>
      <c r="I630" s="145">
        <v>23.695</v>
      </c>
      <c r="J630" s="197">
        <v>66.69</v>
      </c>
      <c r="K630" s="197">
        <v>102.399</v>
      </c>
      <c r="L630" s="197">
        <v>1E-3</v>
      </c>
      <c r="M630" s="197">
        <v>0.1008</v>
      </c>
      <c r="N630" s="197">
        <v>8.9499999999999996E-2</v>
      </c>
      <c r="O630" s="199"/>
      <c r="P630" s="692"/>
      <c r="Q630" s="197">
        <v>33</v>
      </c>
      <c r="R630" s="197">
        <v>3.4559220000000002</v>
      </c>
      <c r="T630" s="692"/>
      <c r="U630" s="692"/>
      <c r="V630" s="692"/>
      <c r="W630" s="692"/>
      <c r="X630" s="692"/>
      <c r="Y630" s="692"/>
    </row>
    <row r="631" spans="1:27" ht="41.45">
      <c r="A631" s="694" t="s">
        <v>0</v>
      </c>
      <c r="B631" s="694"/>
      <c r="C631" s="261" t="s">
        <v>375</v>
      </c>
      <c r="D631" s="751" t="s">
        <v>6</v>
      </c>
      <c r="E631" s="751"/>
      <c r="F631" s="751" t="s">
        <v>7</v>
      </c>
      <c r="G631" s="751"/>
      <c r="H631" s="751" t="s">
        <v>8</v>
      </c>
      <c r="I631" s="751"/>
      <c r="J631" s="694" t="s">
        <v>629</v>
      </c>
      <c r="K631" s="694" t="s">
        <v>630</v>
      </c>
      <c r="L631" s="694" t="s">
        <v>631</v>
      </c>
      <c r="M631" s="694" t="s">
        <v>632</v>
      </c>
      <c r="N631" s="694" t="s">
        <v>633</v>
      </c>
      <c r="O631" s="694" t="s">
        <v>14</v>
      </c>
      <c r="P631" s="694" t="s">
        <v>595</v>
      </c>
      <c r="Q631" s="694" t="s">
        <v>15</v>
      </c>
      <c r="R631" s="694" t="s">
        <v>16</v>
      </c>
      <c r="S631" s="290" t="s">
        <v>17</v>
      </c>
      <c r="T631" s="694" t="s">
        <v>419</v>
      </c>
      <c r="U631" s="242" t="s">
        <v>799</v>
      </c>
      <c r="V631" s="242" t="s">
        <v>800</v>
      </c>
      <c r="W631" s="694" t="s">
        <v>359</v>
      </c>
      <c r="X631" s="694" t="s">
        <v>360</v>
      </c>
      <c r="Y631" s="692"/>
      <c r="Z631" s="163">
        <v>0.54942999999999964</v>
      </c>
      <c r="AA631" s="164">
        <f>R623-R628</f>
        <v>0.54839299999999946</v>
      </c>
    </row>
    <row r="632" spans="1:27" ht="14.85" customHeight="1">
      <c r="A632" s="245">
        <v>45009</v>
      </c>
      <c r="B632" s="256">
        <v>0.2638888888888889</v>
      </c>
      <c r="C632" s="700" t="s">
        <v>27</v>
      </c>
      <c r="D632" s="754" t="s">
        <v>803</v>
      </c>
      <c r="E632" s="754"/>
      <c r="F632" s="754"/>
      <c r="G632" s="754"/>
      <c r="H632" s="691">
        <v>24.12</v>
      </c>
      <c r="I632" s="691">
        <v>23.695</v>
      </c>
      <c r="J632" s="695"/>
      <c r="K632" s="695"/>
      <c r="L632" s="234"/>
      <c r="M632" s="234"/>
      <c r="N632" s="234"/>
      <c r="O632" s="692"/>
      <c r="P632" s="692"/>
      <c r="Q632" s="197">
        <v>42</v>
      </c>
      <c r="R632" s="197">
        <f>4.027541</f>
        <v>4.0275410000000003</v>
      </c>
      <c r="T632" s="692"/>
      <c r="U632" s="692"/>
      <c r="V632" s="692"/>
      <c r="W632" s="692"/>
      <c r="X632" s="692"/>
      <c r="Y632" s="692"/>
      <c r="AA632" s="164">
        <f>AA631-Z631</f>
        <v>-1.0370000000001767E-3</v>
      </c>
    </row>
    <row r="633" spans="1:27">
      <c r="A633" s="245">
        <v>45009</v>
      </c>
      <c r="B633" s="256">
        <v>0.26666666666666666</v>
      </c>
      <c r="C633" s="700" t="s">
        <v>25</v>
      </c>
      <c r="D633" s="754"/>
      <c r="E633" s="754"/>
      <c r="F633" s="754"/>
      <c r="G633" s="754"/>
      <c r="H633" s="691">
        <v>24.12</v>
      </c>
      <c r="I633" s="691">
        <v>23.695</v>
      </c>
      <c r="J633" s="692"/>
      <c r="K633" s="692"/>
      <c r="L633" s="692"/>
      <c r="M633" s="692"/>
      <c r="N633" s="692"/>
      <c r="O633" s="229" t="s">
        <v>626</v>
      </c>
      <c r="P633" s="692"/>
      <c r="Q633" s="692"/>
      <c r="R633" s="692"/>
      <c r="S633" s="306">
        <v>62151</v>
      </c>
      <c r="T633" s="692"/>
      <c r="U633" s="197">
        <v>1.5900000000000001E-2</v>
      </c>
      <c r="V633" s="197">
        <v>-1.49E-2</v>
      </c>
      <c r="W633" s="692"/>
      <c r="X633" s="692"/>
      <c r="Y633" s="692"/>
      <c r="Z633" s="247"/>
    </row>
    <row r="634" spans="1:27">
      <c r="A634" s="245">
        <v>45009</v>
      </c>
      <c r="B634" s="256">
        <v>0.27361111111111108</v>
      </c>
      <c r="C634" s="700" t="s">
        <v>818</v>
      </c>
      <c r="D634" s="754"/>
      <c r="E634" s="754"/>
      <c r="F634" s="754"/>
      <c r="G634" s="754"/>
      <c r="H634" s="691">
        <v>24.12</v>
      </c>
      <c r="I634" s="691">
        <v>23.695</v>
      </c>
      <c r="J634" s="692"/>
      <c r="K634" s="692"/>
      <c r="L634" s="692"/>
      <c r="M634" s="692"/>
      <c r="N634" s="692"/>
      <c r="O634" s="229" t="s">
        <v>313</v>
      </c>
      <c r="P634" s="692"/>
      <c r="Q634" s="692"/>
      <c r="R634" s="692"/>
      <c r="S634" s="306">
        <v>63208</v>
      </c>
      <c r="T634" s="692"/>
      <c r="U634" s="692"/>
      <c r="V634" s="692"/>
      <c r="W634" s="229">
        <v>782.7</v>
      </c>
      <c r="X634" s="229">
        <v>593.5</v>
      </c>
      <c r="Y634" s="692"/>
      <c r="Z634" s="163">
        <f>R632-R639</f>
        <v>0.5715950000000003</v>
      </c>
    </row>
    <row r="635" spans="1:27">
      <c r="A635" s="245">
        <v>45009</v>
      </c>
      <c r="B635" s="256">
        <v>0.27708333333333335</v>
      </c>
      <c r="C635" s="700" t="s">
        <v>25</v>
      </c>
      <c r="D635" s="754"/>
      <c r="E635" s="754"/>
      <c r="F635" s="754"/>
      <c r="G635" s="754"/>
      <c r="H635" s="691">
        <v>24.423999999999999</v>
      </c>
      <c r="I635" s="691">
        <v>23.422999999999998</v>
      </c>
      <c r="J635" s="692"/>
      <c r="K635" s="692"/>
      <c r="L635" s="692"/>
      <c r="M635" s="692"/>
      <c r="N635" s="692"/>
      <c r="O635" s="692"/>
      <c r="P635" s="692"/>
      <c r="Q635" s="197">
        <v>23</v>
      </c>
      <c r="R635" s="197">
        <f>4.017036</f>
        <v>4.0170360000000001</v>
      </c>
      <c r="T635" s="692"/>
      <c r="U635" s="692"/>
      <c r="V635" s="692"/>
      <c r="W635" s="692"/>
      <c r="X635" s="692"/>
      <c r="Y635" s="692"/>
    </row>
    <row r="636" spans="1:27">
      <c r="A636" s="245">
        <v>45009</v>
      </c>
      <c r="B636" s="256">
        <v>0.29722222222222222</v>
      </c>
      <c r="C636" s="700" t="s">
        <v>31</v>
      </c>
      <c r="D636" s="754" t="s">
        <v>803</v>
      </c>
      <c r="E636" s="754"/>
      <c r="F636" s="754"/>
      <c r="G636" s="754"/>
      <c r="H636" s="691">
        <v>24.423999999999999</v>
      </c>
      <c r="I636" s="691">
        <v>23.422999999999998</v>
      </c>
      <c r="J636" s="197">
        <v>101.508</v>
      </c>
      <c r="K636" s="197">
        <v>125.71299999999999</v>
      </c>
      <c r="L636" s="197">
        <v>1E-3</v>
      </c>
      <c r="M636" s="197">
        <v>0.10050000000000001</v>
      </c>
      <c r="N636" s="197">
        <v>8.9200000000000002E-2</v>
      </c>
      <c r="O636" s="199" t="s">
        <v>508</v>
      </c>
      <c r="P636" s="692"/>
      <c r="Q636" s="197">
        <v>27</v>
      </c>
      <c r="R636" s="197">
        <f>3.468638</f>
        <v>3.4686379999999999</v>
      </c>
      <c r="S636" s="301">
        <v>70530</v>
      </c>
      <c r="T636" s="692"/>
      <c r="U636" s="244">
        <v>1.5599999999999999E-2</v>
      </c>
      <c r="V636" s="244">
        <v>-1.17E-2</v>
      </c>
      <c r="W636" s="692"/>
      <c r="X636" s="692"/>
      <c r="Y636" s="692"/>
    </row>
    <row r="637" spans="1:27">
      <c r="A637" s="245">
        <v>45009</v>
      </c>
      <c r="B637" s="256">
        <v>0.30763888888888891</v>
      </c>
      <c r="C637" s="700" t="s">
        <v>32</v>
      </c>
      <c r="D637" s="754"/>
      <c r="E637" s="754"/>
      <c r="F637" s="754"/>
      <c r="G637" s="754"/>
      <c r="H637" s="691">
        <v>24.423999999999999</v>
      </c>
      <c r="I637" s="691">
        <v>23.422999999999998</v>
      </c>
      <c r="J637" s="197">
        <v>88.283000000000001</v>
      </c>
      <c r="K637" s="197">
        <v>109.13800000000001</v>
      </c>
      <c r="L637" s="197">
        <v>1E-3</v>
      </c>
      <c r="M637" s="197">
        <v>0.10059999999999999</v>
      </c>
      <c r="N637" s="197">
        <v>8.9200000000000002E-2</v>
      </c>
      <c r="O637" s="199">
        <v>1133</v>
      </c>
      <c r="P637" s="692"/>
      <c r="Q637" s="692"/>
      <c r="R637" s="692"/>
      <c r="S637" s="301">
        <v>72214</v>
      </c>
      <c r="T637" s="692"/>
      <c r="U637" s="692"/>
      <c r="V637" s="692"/>
      <c r="W637" s="229">
        <v>782.8</v>
      </c>
      <c r="X637" s="229">
        <v>593.79999999999995</v>
      </c>
      <c r="Y637" s="692"/>
    </row>
    <row r="638" spans="1:27">
      <c r="A638" s="245">
        <v>45009</v>
      </c>
      <c r="B638" s="256">
        <v>0.31319444444444444</v>
      </c>
      <c r="C638" s="700" t="s">
        <v>819</v>
      </c>
      <c r="D638" s="754"/>
      <c r="E638" s="754"/>
      <c r="F638" s="754"/>
      <c r="G638" s="754"/>
      <c r="H638" s="691">
        <v>24.423999999999999</v>
      </c>
      <c r="I638" s="691">
        <v>23.422999999999998</v>
      </c>
      <c r="J638" s="197">
        <v>111.24</v>
      </c>
      <c r="K638" s="197">
        <v>149.37799999999999</v>
      </c>
      <c r="L638" s="197">
        <v>1E-3</v>
      </c>
      <c r="M638" s="197">
        <v>0.1003</v>
      </c>
      <c r="N638" s="197">
        <v>8.9099999999999999E-2</v>
      </c>
      <c r="O638" s="199">
        <v>1134</v>
      </c>
      <c r="P638" s="692"/>
      <c r="Q638" s="692"/>
      <c r="R638" s="692"/>
      <c r="T638" s="692"/>
      <c r="U638" s="692"/>
      <c r="V638" s="692"/>
      <c r="W638" s="229">
        <v>783.6</v>
      </c>
      <c r="X638" s="229">
        <v>593.9</v>
      </c>
      <c r="Y638" s="692"/>
    </row>
    <row r="639" spans="1:27">
      <c r="A639" s="245">
        <v>45009</v>
      </c>
      <c r="B639" s="256">
        <v>0.32013888888888892</v>
      </c>
      <c r="C639" s="700" t="s">
        <v>33</v>
      </c>
      <c r="D639" s="754"/>
      <c r="E639" s="754"/>
      <c r="F639" s="754"/>
      <c r="G639" s="754"/>
      <c r="H639" s="691">
        <v>24.12</v>
      </c>
      <c r="I639" s="691">
        <v>23.695</v>
      </c>
      <c r="J639" s="197">
        <v>66.692999999999998</v>
      </c>
      <c r="K639" s="197">
        <v>102.398</v>
      </c>
      <c r="L639" s="197">
        <v>1E-3</v>
      </c>
      <c r="M639" s="197">
        <v>0.1007</v>
      </c>
      <c r="N639" s="197">
        <v>8.9200000000000002E-2</v>
      </c>
      <c r="O639" s="168"/>
      <c r="P639" s="692"/>
      <c r="Q639" s="197">
        <v>31</v>
      </c>
      <c r="R639" s="197">
        <f>3.455946</f>
        <v>3.455946</v>
      </c>
      <c r="T639" s="692"/>
      <c r="U639" s="692"/>
      <c r="V639" s="692"/>
      <c r="W639" s="692"/>
      <c r="X639" s="692"/>
      <c r="Y639" s="692"/>
    </row>
    <row r="640" spans="1:27">
      <c r="A640" s="245">
        <v>45009</v>
      </c>
      <c r="B640" s="256">
        <v>0.32500000000000001</v>
      </c>
      <c r="C640" s="700" t="s">
        <v>820</v>
      </c>
      <c r="D640" s="754"/>
      <c r="E640" s="754"/>
      <c r="F640" s="754"/>
      <c r="G640" s="754"/>
      <c r="H640" s="691">
        <v>24.12</v>
      </c>
      <c r="I640" s="691">
        <v>23.695</v>
      </c>
      <c r="J640" s="197">
        <v>92.91</v>
      </c>
      <c r="K640" s="197">
        <v>144.90199999999999</v>
      </c>
      <c r="L640" s="197">
        <v>1E-3</v>
      </c>
      <c r="M640" s="197">
        <v>0.1003</v>
      </c>
      <c r="N640" s="197">
        <v>8.9099999999999999E-2</v>
      </c>
      <c r="O640" s="168"/>
      <c r="P640" s="692"/>
      <c r="Q640" s="197">
        <v>12</v>
      </c>
      <c r="R640" s="197">
        <f>3.464042</f>
        <v>3.4640420000000001</v>
      </c>
      <c r="T640" s="692"/>
      <c r="U640" s="692"/>
      <c r="V640" s="692"/>
      <c r="W640" s="692"/>
      <c r="X640" s="692"/>
      <c r="Y640" s="692"/>
    </row>
    <row r="641" spans="1:26">
      <c r="A641" s="245">
        <v>45009</v>
      </c>
      <c r="B641" s="256">
        <v>0.33888888888888885</v>
      </c>
      <c r="C641" s="700" t="s">
        <v>34</v>
      </c>
      <c r="D641" s="754" t="s">
        <v>803</v>
      </c>
      <c r="E641" s="754"/>
      <c r="F641" s="754"/>
      <c r="G641" s="754"/>
      <c r="H641" s="691">
        <v>24.423999999999999</v>
      </c>
      <c r="I641" s="691">
        <v>23.422999999999998</v>
      </c>
      <c r="J641" s="197">
        <v>76.102999999999994</v>
      </c>
      <c r="K641" s="197">
        <v>125.70399999999999</v>
      </c>
      <c r="L641" s="197">
        <v>1E-3</v>
      </c>
      <c r="M641" s="197">
        <v>7.1300000000000002E-2</v>
      </c>
      <c r="N641" s="197">
        <v>6.1499999999999999E-2</v>
      </c>
      <c r="O641" s="199" t="s">
        <v>51</v>
      </c>
      <c r="P641" s="692"/>
      <c r="Q641" s="197">
        <v>27</v>
      </c>
      <c r="R641" s="197">
        <f>3.468621</f>
        <v>3.4686210000000002</v>
      </c>
      <c r="S641" s="301">
        <v>80413</v>
      </c>
      <c r="T641" s="692"/>
      <c r="U641" s="244">
        <v>1.6199999999999999E-2</v>
      </c>
      <c r="V641" s="244">
        <v>-1.66E-2</v>
      </c>
      <c r="W641" s="692"/>
      <c r="X641" s="692"/>
      <c r="Y641" s="692"/>
    </row>
    <row r="642" spans="1:26">
      <c r="A642" s="245">
        <v>45009</v>
      </c>
      <c r="B642" s="256">
        <v>0.37083333333333335</v>
      </c>
      <c r="C642" s="700" t="s">
        <v>35</v>
      </c>
      <c r="D642" s="754"/>
      <c r="E642" s="754"/>
      <c r="F642" s="754"/>
      <c r="G642" s="754"/>
      <c r="H642" s="691">
        <v>24.423999999999999</v>
      </c>
      <c r="I642" s="691">
        <v>23.422999999999998</v>
      </c>
      <c r="J642" s="197">
        <v>-60.914999999999999</v>
      </c>
      <c r="K642" s="197">
        <v>109.07</v>
      </c>
      <c r="L642" s="197">
        <v>-1E-3</v>
      </c>
      <c r="M642" s="197">
        <v>7.1400000000000005E-2</v>
      </c>
      <c r="N642" s="197">
        <v>6.1400000000000003E-2</v>
      </c>
      <c r="O642" s="199">
        <v>1136</v>
      </c>
      <c r="P642" s="692"/>
      <c r="Q642" s="692"/>
      <c r="R642" s="692"/>
      <c r="S642" s="301">
        <v>85247</v>
      </c>
      <c r="T642" s="692"/>
      <c r="U642" s="692"/>
      <c r="V642" s="692"/>
      <c r="W642" s="257">
        <v>782.95</v>
      </c>
      <c r="X642" s="257">
        <v>594.5</v>
      </c>
      <c r="Y642" s="692"/>
    </row>
    <row r="643" spans="1:26">
      <c r="A643" s="245">
        <v>45009</v>
      </c>
      <c r="B643" s="256">
        <v>0.38055555555555554</v>
      </c>
      <c r="C643" s="700" t="s">
        <v>59</v>
      </c>
      <c r="D643" s="754"/>
      <c r="E643" s="754"/>
      <c r="F643" s="754"/>
      <c r="G643" s="754"/>
      <c r="H643" s="691">
        <v>24.423999999999999</v>
      </c>
      <c r="I643" s="691">
        <v>23.422999999999998</v>
      </c>
      <c r="J643" s="197">
        <v>-83.896000000000001</v>
      </c>
      <c r="K643" s="197">
        <v>149.28899999999999</v>
      </c>
      <c r="L643" s="197">
        <v>1E-3</v>
      </c>
      <c r="M643" s="197">
        <v>7.0999999999999994E-2</v>
      </c>
      <c r="N643" s="197">
        <v>6.1400000000000003E-2</v>
      </c>
      <c r="O643" s="199">
        <v>1130</v>
      </c>
      <c r="P643" s="692"/>
      <c r="Q643" s="692"/>
      <c r="R643" s="692"/>
      <c r="S643" s="304">
        <v>90700</v>
      </c>
      <c r="T643" s="692"/>
      <c r="U643" s="692"/>
      <c r="V643" s="692"/>
      <c r="W643" s="257">
        <v>782.6</v>
      </c>
      <c r="X643" s="257">
        <v>593.79999999999995</v>
      </c>
      <c r="Y643" s="692"/>
    </row>
    <row r="644" spans="1:26">
      <c r="A644" s="245">
        <v>45009</v>
      </c>
      <c r="B644" s="256">
        <v>0.3972222222222222</v>
      </c>
      <c r="C644" s="700" t="s">
        <v>36</v>
      </c>
      <c r="D644" s="754"/>
      <c r="E644" s="754"/>
      <c r="F644" s="754"/>
      <c r="G644" s="754"/>
      <c r="H644" s="691">
        <v>24.12</v>
      </c>
      <c r="I644" s="691">
        <v>23.695</v>
      </c>
      <c r="J644" s="197">
        <v>-105.498</v>
      </c>
      <c r="K644" s="197">
        <v>102.699</v>
      </c>
      <c r="L644" s="197">
        <v>-1E-3</v>
      </c>
      <c r="M644" s="197">
        <v>7.1400000000000005E-2</v>
      </c>
      <c r="N644" s="197">
        <v>6.13E-2</v>
      </c>
      <c r="O644" s="168"/>
      <c r="P644" s="692"/>
      <c r="Q644" s="197">
        <v>23</v>
      </c>
      <c r="R644" s="197">
        <f>3.455967</f>
        <v>3.4559669999999998</v>
      </c>
      <c r="T644" s="692"/>
      <c r="U644" s="692"/>
      <c r="V644" s="692"/>
      <c r="W644" s="692"/>
      <c r="X644" s="692"/>
      <c r="Y644" s="692"/>
    </row>
    <row r="645" spans="1:26" ht="20.45">
      <c r="A645" s="245">
        <v>45009</v>
      </c>
      <c r="B645" s="256">
        <v>0.3979166666666667</v>
      </c>
      <c r="C645" s="700" t="s">
        <v>821</v>
      </c>
      <c r="D645" s="754"/>
      <c r="E645" s="754"/>
      <c r="F645" s="754"/>
      <c r="G645" s="754"/>
      <c r="H645" s="691">
        <v>24.12</v>
      </c>
      <c r="I645" s="691">
        <v>23.695</v>
      </c>
      <c r="J645" s="197">
        <v>-26.99</v>
      </c>
      <c r="K645" s="197">
        <v>144.601</v>
      </c>
      <c r="L645" s="197">
        <v>0</v>
      </c>
      <c r="M645" s="197">
        <v>7.1099999999999997E-2</v>
      </c>
      <c r="N645" s="197">
        <v>6.1400000000000003E-2</v>
      </c>
      <c r="O645" s="168"/>
      <c r="P645" s="692"/>
      <c r="Q645" s="197"/>
      <c r="R645" s="197"/>
      <c r="T645" s="692"/>
      <c r="U645" s="692"/>
      <c r="V645" s="692"/>
      <c r="W645" s="692"/>
      <c r="X645" s="692"/>
      <c r="Y645" s="692"/>
    </row>
    <row r="646" spans="1:26" ht="41.45">
      <c r="A646" s="694" t="s">
        <v>0</v>
      </c>
      <c r="B646" s="694"/>
      <c r="C646" s="261" t="s">
        <v>375</v>
      </c>
      <c r="D646" s="751" t="s">
        <v>6</v>
      </c>
      <c r="E646" s="751"/>
      <c r="F646" s="751" t="s">
        <v>7</v>
      </c>
      <c r="G646" s="751"/>
      <c r="H646" s="751" t="s">
        <v>8</v>
      </c>
      <c r="I646" s="751"/>
      <c r="J646" s="694" t="s">
        <v>629</v>
      </c>
      <c r="K646" s="694" t="s">
        <v>630</v>
      </c>
      <c r="L646" s="694" t="s">
        <v>631</v>
      </c>
      <c r="M646" s="694" t="s">
        <v>632</v>
      </c>
      <c r="N646" s="694" t="s">
        <v>633</v>
      </c>
      <c r="O646" s="694" t="s">
        <v>14</v>
      </c>
      <c r="P646" s="694" t="s">
        <v>595</v>
      </c>
      <c r="Q646" s="694" t="s">
        <v>15</v>
      </c>
      <c r="R646" s="694" t="s">
        <v>16</v>
      </c>
      <c r="S646" s="290" t="s">
        <v>17</v>
      </c>
      <c r="T646" s="694" t="s">
        <v>419</v>
      </c>
      <c r="U646" s="242" t="s">
        <v>799</v>
      </c>
      <c r="V646" s="242" t="s">
        <v>800</v>
      </c>
      <c r="W646" s="694" t="s">
        <v>359</v>
      </c>
      <c r="X646" s="694" t="s">
        <v>360</v>
      </c>
      <c r="Y646" s="692"/>
    </row>
    <row r="647" spans="1:26" ht="14.85" customHeight="1">
      <c r="A647" s="245">
        <v>45016</v>
      </c>
      <c r="B647" s="256">
        <v>0.36527777777777781</v>
      </c>
      <c r="C647" s="700" t="s">
        <v>27</v>
      </c>
      <c r="D647" s="258" t="s">
        <v>803</v>
      </c>
      <c r="E647" s="258"/>
      <c r="F647" s="258"/>
      <c r="G647" s="258"/>
      <c r="H647" s="754" t="s">
        <v>822</v>
      </c>
      <c r="I647" s="754"/>
      <c r="J647" s="695"/>
      <c r="K647" s="695"/>
      <c r="L647" s="234"/>
      <c r="M647" s="234"/>
      <c r="N647" s="234"/>
      <c r="O647" s="692"/>
      <c r="P647" s="692"/>
      <c r="Q647" s="197">
        <v>21</v>
      </c>
      <c r="R647" s="197">
        <v>4.0273599999999998</v>
      </c>
      <c r="T647" s="692"/>
      <c r="U647" s="692"/>
      <c r="V647" s="692"/>
      <c r="W647" s="692"/>
      <c r="X647" s="692"/>
      <c r="Y647" s="692"/>
    </row>
    <row r="648" spans="1:26">
      <c r="A648" s="245">
        <v>45016</v>
      </c>
      <c r="B648" s="256"/>
      <c r="C648" s="700" t="s">
        <v>818</v>
      </c>
      <c r="D648" s="255">
        <v>20.0655</v>
      </c>
      <c r="E648" s="260">
        <v>243.07400000000001</v>
      </c>
      <c r="F648" s="259">
        <v>22.019100000000002</v>
      </c>
      <c r="G648" s="259">
        <v>23.48068</v>
      </c>
      <c r="H648" s="691"/>
      <c r="I648" s="691"/>
      <c r="J648" s="692"/>
      <c r="K648" s="692"/>
      <c r="L648" s="692"/>
      <c r="M648" s="692"/>
      <c r="N648" s="692"/>
      <c r="O648" s="229"/>
      <c r="P648" s="692"/>
      <c r="Q648" s="692"/>
      <c r="R648" s="692"/>
      <c r="S648" s="306">
        <v>14118</v>
      </c>
      <c r="T648" s="692"/>
      <c r="U648" s="692"/>
      <c r="V648" s="692"/>
      <c r="W648" s="229"/>
      <c r="X648" s="229"/>
      <c r="Y648" s="692"/>
    </row>
    <row r="649" spans="1:26">
      <c r="A649" s="755" t="s">
        <v>823</v>
      </c>
      <c r="B649" s="755"/>
      <c r="C649" s="755"/>
      <c r="D649" s="755"/>
      <c r="E649" s="755"/>
      <c r="F649" s="755"/>
      <c r="G649" s="755"/>
      <c r="H649" s="755"/>
      <c r="I649" s="755"/>
      <c r="J649" s="755"/>
      <c r="K649" s="755"/>
      <c r="L649" s="755"/>
      <c r="M649" s="755"/>
      <c r="N649" s="755"/>
      <c r="O649" s="755"/>
      <c r="P649" s="755"/>
      <c r="Q649" s="755"/>
      <c r="R649" s="755"/>
      <c r="S649" s="755"/>
      <c r="T649" s="755"/>
      <c r="U649" s="755"/>
      <c r="V649" s="755"/>
      <c r="W649" s="755"/>
      <c r="X649" s="755"/>
      <c r="Y649" s="755"/>
    </row>
    <row r="650" spans="1:26" ht="15" customHeight="1">
      <c r="A650" s="245">
        <v>45017</v>
      </c>
      <c r="B650" s="256">
        <v>0.28472222222222221</v>
      </c>
      <c r="C650" s="700" t="s">
        <v>27</v>
      </c>
      <c r="D650" s="754" t="s">
        <v>824</v>
      </c>
      <c r="E650" s="754"/>
      <c r="F650" s="754"/>
      <c r="G650" s="754"/>
      <c r="H650" s="691">
        <v>24.132999999999999</v>
      </c>
      <c r="I650" s="691">
        <v>23.715</v>
      </c>
      <c r="J650" s="695"/>
      <c r="K650" s="695"/>
      <c r="L650" s="234"/>
      <c r="M650" s="234"/>
      <c r="N650" s="234"/>
      <c r="O650" s="692"/>
      <c r="P650" s="692"/>
      <c r="Q650" s="197">
        <v>32</v>
      </c>
      <c r="R650" s="197">
        <v>4.0271739999999996</v>
      </c>
      <c r="T650" s="692"/>
      <c r="U650" s="692"/>
      <c r="V650" s="692"/>
      <c r="W650" s="692"/>
      <c r="X650" s="692"/>
      <c r="Y650" s="692"/>
      <c r="Z650" s="182" t="s">
        <v>825</v>
      </c>
    </row>
    <row r="651" spans="1:26">
      <c r="A651" s="245">
        <v>45017</v>
      </c>
      <c r="B651" s="256">
        <v>0.28750000000000003</v>
      </c>
      <c r="C651" s="700" t="s">
        <v>826</v>
      </c>
      <c r="D651" s="754"/>
      <c r="E651" s="754"/>
      <c r="F651" s="754"/>
      <c r="G651" s="754"/>
      <c r="H651" s="691">
        <v>24.132999999999999</v>
      </c>
      <c r="I651" s="691">
        <v>23.715</v>
      </c>
      <c r="J651" s="692"/>
      <c r="K651" s="692"/>
      <c r="L651" s="692"/>
      <c r="M651" s="692"/>
      <c r="N651" s="692"/>
      <c r="O651" s="229" t="s">
        <v>827</v>
      </c>
      <c r="P651" s="692"/>
      <c r="Q651" s="692"/>
      <c r="R651" s="692"/>
      <c r="S651" s="306">
        <v>65249</v>
      </c>
      <c r="T651" s="692"/>
      <c r="U651" s="197">
        <v>4.1000000000000003E-3</v>
      </c>
      <c r="V651" s="197">
        <v>6.0000000000000001E-3</v>
      </c>
      <c r="W651" s="692"/>
      <c r="X651" s="692"/>
      <c r="Y651" s="692"/>
    </row>
    <row r="652" spans="1:26">
      <c r="A652" s="245">
        <v>45017</v>
      </c>
      <c r="B652" s="256">
        <v>0.28958333333333336</v>
      </c>
      <c r="C652" s="700" t="s">
        <v>826</v>
      </c>
      <c r="D652" s="754"/>
      <c r="E652" s="754"/>
      <c r="F652" s="754"/>
      <c r="G652" s="754"/>
      <c r="H652" s="691">
        <v>24.132999999999999</v>
      </c>
      <c r="I652" s="691">
        <v>23.715</v>
      </c>
      <c r="J652" s="692"/>
      <c r="K652" s="692"/>
      <c r="L652" s="692"/>
      <c r="M652" s="692"/>
      <c r="N652" s="692"/>
      <c r="O652" s="229" t="s">
        <v>827</v>
      </c>
      <c r="P652" s="692"/>
      <c r="Q652" s="692"/>
      <c r="R652" s="692"/>
      <c r="S652" s="306">
        <v>65557</v>
      </c>
      <c r="T652" s="692"/>
      <c r="U652" s="197">
        <v>5.4999999999999997E-3</v>
      </c>
      <c r="V652" s="197">
        <v>6.0000000000000001E-3</v>
      </c>
      <c r="W652" s="692"/>
      <c r="X652" s="692"/>
      <c r="Y652" s="692"/>
      <c r="Z652" s="163" t="s">
        <v>828</v>
      </c>
    </row>
    <row r="653" spans="1:26">
      <c r="A653" s="245">
        <v>45017</v>
      </c>
      <c r="B653" s="256">
        <v>0.29236111111111113</v>
      </c>
      <c r="C653" s="700" t="s">
        <v>829</v>
      </c>
      <c r="D653" s="754"/>
      <c r="E653" s="754"/>
      <c r="F653" s="754"/>
      <c r="G653" s="754"/>
      <c r="H653" s="691">
        <v>24.132999999999999</v>
      </c>
      <c r="I653" s="691">
        <v>23.715</v>
      </c>
      <c r="J653" s="692"/>
      <c r="K653" s="692"/>
      <c r="L653" s="692"/>
      <c r="M653" s="692"/>
      <c r="N653" s="692"/>
      <c r="O653" s="229" t="s">
        <v>326</v>
      </c>
      <c r="P653" s="692"/>
      <c r="Q653" s="692"/>
      <c r="R653" s="692"/>
      <c r="S653" s="306">
        <v>65933</v>
      </c>
      <c r="T653" s="692"/>
      <c r="U653" s="692"/>
      <c r="V653" s="692"/>
      <c r="W653" s="229">
        <v>812.8</v>
      </c>
      <c r="X653" s="229">
        <v>606.4</v>
      </c>
      <c r="Y653" s="692"/>
      <c r="Z653" s="163" t="s">
        <v>830</v>
      </c>
    </row>
    <row r="654" spans="1:26">
      <c r="A654" s="245">
        <v>45017</v>
      </c>
      <c r="B654" s="256">
        <v>0.30624999999999997</v>
      </c>
      <c r="C654" s="700" t="s">
        <v>826</v>
      </c>
      <c r="D654" s="754"/>
      <c r="E654" s="754"/>
      <c r="F654" s="754"/>
      <c r="G654" s="754"/>
      <c r="H654" s="691">
        <v>24.132999999999999</v>
      </c>
      <c r="I654" s="691">
        <v>23.715</v>
      </c>
      <c r="J654" s="692"/>
      <c r="K654" s="692"/>
      <c r="L654" s="692"/>
      <c r="M654" s="692"/>
      <c r="N654" s="692"/>
      <c r="O654" s="229" t="s">
        <v>51</v>
      </c>
      <c r="P654" s="692"/>
      <c r="Q654" s="692"/>
      <c r="R654" s="692"/>
      <c r="S654" s="306">
        <v>71941</v>
      </c>
      <c r="T654" s="692"/>
      <c r="U654" s="229">
        <v>4.1000000000000003E-3</v>
      </c>
      <c r="V654" s="229">
        <v>6.0000000000000001E-3</v>
      </c>
      <c r="W654" s="692"/>
      <c r="X654" s="692"/>
      <c r="Y654" s="692"/>
    </row>
    <row r="655" spans="1:26">
      <c r="A655" s="245">
        <v>45017</v>
      </c>
      <c r="B655" s="256">
        <v>0.30416666666666664</v>
      </c>
      <c r="C655" s="700" t="s">
        <v>829</v>
      </c>
      <c r="D655" s="754"/>
      <c r="E655" s="754"/>
      <c r="F655" s="754"/>
      <c r="G655" s="754"/>
      <c r="H655" s="691">
        <v>24.132999999999999</v>
      </c>
      <c r="I655" s="691">
        <v>23.715</v>
      </c>
      <c r="J655" s="692"/>
      <c r="K655" s="692"/>
      <c r="L655" s="692"/>
      <c r="M655" s="692"/>
      <c r="N655" s="692"/>
      <c r="O655" s="229" t="s">
        <v>326</v>
      </c>
      <c r="P655" s="692"/>
      <c r="Q655" s="692"/>
      <c r="R655" s="692"/>
      <c r="S655" s="306">
        <v>71658</v>
      </c>
      <c r="T655" s="692"/>
      <c r="U655" s="692"/>
      <c r="V655" s="692"/>
      <c r="W655" s="229">
        <v>812.7</v>
      </c>
      <c r="X655" s="229">
        <v>605.5</v>
      </c>
      <c r="Y655" s="692"/>
      <c r="Z655" s="163" t="s">
        <v>831</v>
      </c>
    </row>
    <row r="656" spans="1:26">
      <c r="A656" s="245">
        <v>45017</v>
      </c>
      <c r="B656" s="256">
        <v>0.30833333333333335</v>
      </c>
      <c r="C656" s="700" t="s">
        <v>829</v>
      </c>
      <c r="D656" s="754"/>
      <c r="E656" s="754"/>
      <c r="F656" s="754"/>
      <c r="G656" s="754"/>
      <c r="H656" s="691">
        <v>24.132999999999999</v>
      </c>
      <c r="I656" s="691">
        <v>23.715</v>
      </c>
      <c r="J656" s="692"/>
      <c r="K656" s="692"/>
      <c r="L656" s="692"/>
      <c r="M656" s="692"/>
      <c r="N656" s="692"/>
      <c r="O656" s="229" t="s">
        <v>67</v>
      </c>
      <c r="P656" s="692"/>
      <c r="Q656" s="692"/>
      <c r="R656" s="692"/>
      <c r="S656" s="306">
        <v>72323</v>
      </c>
      <c r="T656" s="692"/>
      <c r="U656" s="692"/>
      <c r="V656" s="692"/>
      <c r="W656" s="229">
        <v>812.7</v>
      </c>
      <c r="X656" s="229">
        <v>604.70000000000005</v>
      </c>
      <c r="Y656" s="692"/>
      <c r="Z656" s="163" t="s">
        <v>832</v>
      </c>
    </row>
    <row r="657" spans="1:26">
      <c r="A657" s="245">
        <v>45017</v>
      </c>
      <c r="B657" s="256">
        <v>0.32013888888888892</v>
      </c>
      <c r="C657" s="700" t="s">
        <v>833</v>
      </c>
      <c r="D657" s="754"/>
      <c r="E657" s="754"/>
      <c r="F657" s="754"/>
      <c r="G657" s="754"/>
      <c r="H657" s="691" t="s">
        <v>525</v>
      </c>
      <c r="I657" s="691" t="s">
        <v>525</v>
      </c>
      <c r="J657" s="692"/>
      <c r="K657" s="692"/>
      <c r="L657" s="692"/>
      <c r="M657" s="692"/>
      <c r="N657" s="692"/>
      <c r="O657" s="692"/>
      <c r="P657" s="692"/>
      <c r="Q657" s="197"/>
      <c r="R657" s="197"/>
      <c r="T657" s="692"/>
      <c r="U657" s="692"/>
      <c r="V657" s="692"/>
      <c r="W657" s="692"/>
      <c r="X657" s="692"/>
      <c r="Y657" s="692"/>
      <c r="Z657" s="163" t="s">
        <v>834</v>
      </c>
    </row>
    <row r="658" spans="1:26">
      <c r="A658" s="245">
        <v>45017</v>
      </c>
      <c r="B658" s="256">
        <v>0.30833333333333335</v>
      </c>
      <c r="C658" s="700" t="s">
        <v>829</v>
      </c>
      <c r="D658" s="754"/>
      <c r="E658" s="754"/>
      <c r="F658" s="754"/>
      <c r="G658" s="754"/>
      <c r="H658" s="691">
        <v>24.132999999999999</v>
      </c>
      <c r="I658" s="691">
        <v>23.715</v>
      </c>
      <c r="J658" s="692"/>
      <c r="K658" s="692"/>
      <c r="L658" s="692"/>
      <c r="M658" s="692"/>
      <c r="N658" s="692"/>
      <c r="O658" s="229" t="s">
        <v>67</v>
      </c>
      <c r="P658" s="692"/>
      <c r="Q658" s="692"/>
      <c r="R658" s="692"/>
      <c r="S658" s="306">
        <v>74302</v>
      </c>
      <c r="T658" s="692"/>
      <c r="U658" s="692"/>
      <c r="V658" s="692"/>
      <c r="W658" s="229">
        <v>811.9</v>
      </c>
      <c r="X658" s="229">
        <v>604.6</v>
      </c>
      <c r="Y658" s="692"/>
      <c r="Z658" s="163" t="s">
        <v>835</v>
      </c>
    </row>
    <row r="659" spans="1:26">
      <c r="A659" s="245">
        <v>45017</v>
      </c>
      <c r="B659" s="256">
        <v>0.32569444444444445</v>
      </c>
      <c r="C659" s="700" t="s">
        <v>826</v>
      </c>
      <c r="D659" s="754"/>
      <c r="E659" s="754"/>
      <c r="F659" s="754"/>
      <c r="G659" s="754"/>
      <c r="H659" s="691">
        <v>24.132999999999999</v>
      </c>
      <c r="I659" s="691">
        <v>23.715</v>
      </c>
      <c r="J659" s="692"/>
      <c r="K659" s="692"/>
      <c r="L659" s="692"/>
      <c r="M659" s="692"/>
      <c r="N659" s="692"/>
      <c r="O659" s="229" t="s">
        <v>51</v>
      </c>
      <c r="P659" s="692"/>
      <c r="Q659" s="692"/>
      <c r="R659" s="692"/>
      <c r="S659" s="306">
        <v>74901</v>
      </c>
      <c r="T659" s="692"/>
      <c r="U659" s="229">
        <v>3.8E-3</v>
      </c>
      <c r="V659" s="229">
        <v>5.5999999999999999E-3</v>
      </c>
      <c r="W659" s="692"/>
      <c r="X659" s="692"/>
      <c r="Y659" s="692"/>
      <c r="Z659" s="163" t="s">
        <v>836</v>
      </c>
    </row>
    <row r="660" spans="1:26">
      <c r="A660" s="245">
        <v>45017</v>
      </c>
      <c r="B660" s="256">
        <v>0.47569444444444442</v>
      </c>
      <c r="C660" s="700" t="s">
        <v>31</v>
      </c>
      <c r="D660" s="754"/>
      <c r="E660" s="754"/>
      <c r="F660" s="754"/>
      <c r="G660" s="754"/>
      <c r="H660" s="691">
        <v>24.132999999999999</v>
      </c>
      <c r="I660" s="691">
        <v>23.715</v>
      </c>
      <c r="J660" s="197">
        <v>101.50700000000001</v>
      </c>
      <c r="K660" s="197">
        <v>125.71299999999999</v>
      </c>
      <c r="L660" s="197">
        <v>0</v>
      </c>
      <c r="M660" s="197">
        <v>0.1017</v>
      </c>
      <c r="N660" s="197">
        <v>8.5900000000000004E-2</v>
      </c>
      <c r="O660" s="199" t="s">
        <v>40</v>
      </c>
      <c r="P660" s="692"/>
      <c r="Q660" s="692"/>
      <c r="R660" s="692"/>
      <c r="S660" s="301">
        <v>12358</v>
      </c>
      <c r="T660" s="692"/>
      <c r="U660" s="244">
        <v>4.1000000000000003E-3</v>
      </c>
      <c r="V660" s="244">
        <v>3.5000000000000001E-3</v>
      </c>
      <c r="W660" s="692"/>
      <c r="X660" s="692"/>
      <c r="Y660" s="692"/>
    </row>
    <row r="661" spans="1:26">
      <c r="A661" s="245">
        <v>45017</v>
      </c>
      <c r="B661" s="256">
        <v>0.48194444444444445</v>
      </c>
      <c r="C661" s="700" t="s">
        <v>32</v>
      </c>
      <c r="D661" s="754"/>
      <c r="E661" s="754"/>
      <c r="F661" s="754"/>
      <c r="G661" s="754"/>
      <c r="H661" s="691">
        <v>24.132999999999999</v>
      </c>
      <c r="I661" s="691">
        <v>23.715</v>
      </c>
      <c r="J661" s="197">
        <v>88.435000000000002</v>
      </c>
      <c r="K661" s="197">
        <v>109.26600000000001</v>
      </c>
      <c r="L661" s="197">
        <v>0</v>
      </c>
      <c r="M661" s="197">
        <v>0.1018</v>
      </c>
      <c r="N661" s="197">
        <v>8.5599999999999996E-2</v>
      </c>
      <c r="O661" s="199">
        <v>1133</v>
      </c>
      <c r="P661" s="692"/>
      <c r="Q661" s="692"/>
      <c r="R661" s="692"/>
      <c r="S661" s="301">
        <v>13429</v>
      </c>
      <c r="T661" s="692"/>
      <c r="U661" s="692"/>
      <c r="V661" s="692"/>
      <c r="W661" s="229">
        <v>812.6</v>
      </c>
      <c r="X661" s="229">
        <v>605.9</v>
      </c>
      <c r="Y661" s="692"/>
    </row>
    <row r="662" spans="1:26">
      <c r="A662" s="245">
        <v>45017</v>
      </c>
      <c r="B662" s="256">
        <v>0.48541666666666666</v>
      </c>
      <c r="C662" s="700" t="s">
        <v>837</v>
      </c>
      <c r="D662" s="754"/>
      <c r="E662" s="754"/>
      <c r="F662" s="754"/>
      <c r="G662" s="754"/>
      <c r="H662" s="691">
        <v>24.132999999999999</v>
      </c>
      <c r="I662" s="691">
        <v>23.715</v>
      </c>
      <c r="J662" s="197"/>
      <c r="K662" s="197"/>
      <c r="L662" s="197"/>
      <c r="M662" s="197"/>
      <c r="N662" s="197"/>
      <c r="O662" s="692"/>
      <c r="P662" s="692"/>
      <c r="Q662" s="197"/>
      <c r="R662" s="197"/>
      <c r="T662" s="692"/>
      <c r="U662" s="692"/>
      <c r="V662" s="692"/>
      <c r="W662" s="692"/>
      <c r="X662" s="692"/>
      <c r="Y662" s="692"/>
      <c r="Z662" s="163" t="s">
        <v>838</v>
      </c>
    </row>
    <row r="663" spans="1:26">
      <c r="A663" s="245">
        <v>45017</v>
      </c>
      <c r="B663" s="256">
        <v>0.49374999999999997</v>
      </c>
      <c r="C663" s="700" t="s">
        <v>819</v>
      </c>
      <c r="D663" s="754"/>
      <c r="E663" s="754"/>
      <c r="F663" s="754"/>
      <c r="G663" s="754"/>
      <c r="H663" s="691">
        <v>24.132999999999999</v>
      </c>
      <c r="I663" s="691">
        <v>23.715</v>
      </c>
      <c r="J663" s="197">
        <v>111.387</v>
      </c>
      <c r="K663" s="197">
        <v>149.52500000000001</v>
      </c>
      <c r="L663" s="197">
        <v>0</v>
      </c>
      <c r="M663" s="197">
        <v>0.1014</v>
      </c>
      <c r="N663" s="197">
        <v>8.5900000000000004E-2</v>
      </c>
      <c r="O663" s="199">
        <v>1134</v>
      </c>
      <c r="P663" s="692"/>
      <c r="Q663" s="692"/>
      <c r="R663" s="692"/>
      <c r="S663" s="301">
        <v>14641</v>
      </c>
      <c r="T663" s="692"/>
      <c r="U663" s="692"/>
      <c r="V663" s="692"/>
      <c r="W663" s="229">
        <v>812.8</v>
      </c>
      <c r="X663" s="229">
        <v>606.70000000000005</v>
      </c>
      <c r="Y663" s="692"/>
    </row>
    <row r="664" spans="1:26">
      <c r="A664" s="245">
        <v>45017</v>
      </c>
      <c r="B664" s="256">
        <v>0.48819444444444443</v>
      </c>
      <c r="C664" s="700" t="s">
        <v>33</v>
      </c>
      <c r="D664" s="754"/>
      <c r="E664" s="754"/>
      <c r="F664" s="754"/>
      <c r="G664" s="754"/>
      <c r="H664" s="691">
        <v>24.132999999999999</v>
      </c>
      <c r="I664" s="691">
        <v>23.715</v>
      </c>
      <c r="J664" s="197">
        <v>66.69</v>
      </c>
      <c r="K664" s="197">
        <v>102.398</v>
      </c>
      <c r="L664" s="197">
        <v>0</v>
      </c>
      <c r="M664" s="197">
        <v>0.1018</v>
      </c>
      <c r="N664" s="197">
        <v>8.5999999999999993E-2</v>
      </c>
      <c r="O664" s="168"/>
      <c r="P664" s="692"/>
      <c r="Q664" s="197">
        <v>31</v>
      </c>
      <c r="R664" s="197">
        <v>3.4556840000000002</v>
      </c>
      <c r="T664" s="692"/>
      <c r="U664" s="692"/>
      <c r="V664" s="692"/>
      <c r="W664" s="692"/>
      <c r="X664" s="692"/>
      <c r="Y664" s="692"/>
    </row>
    <row r="665" spans="1:26">
      <c r="A665" s="245">
        <v>45017</v>
      </c>
      <c r="B665" s="256">
        <v>0.49583333333333335</v>
      </c>
      <c r="C665" s="700" t="s">
        <v>820</v>
      </c>
      <c r="D665" s="754"/>
      <c r="E665" s="754"/>
      <c r="F665" s="754"/>
      <c r="G665" s="754"/>
      <c r="H665" s="691">
        <v>24.132999999999999</v>
      </c>
      <c r="I665" s="691">
        <v>23.715</v>
      </c>
      <c r="J665" s="197">
        <v>92.906000000000006</v>
      </c>
      <c r="K665" s="197">
        <v>144.9</v>
      </c>
      <c r="L665" s="197">
        <v>0</v>
      </c>
      <c r="M665" s="197">
        <v>0.1014</v>
      </c>
      <c r="N665" s="197">
        <v>8.5999999999999993E-2</v>
      </c>
      <c r="O665" s="168"/>
      <c r="P665" s="692"/>
      <c r="Q665" s="197">
        <v>27</v>
      </c>
      <c r="R665" s="197">
        <v>3.4637690000000001</v>
      </c>
      <c r="T665" s="692"/>
      <c r="U665" s="692"/>
      <c r="V665" s="692"/>
      <c r="W665" s="692"/>
      <c r="X665" s="692"/>
      <c r="Y665" s="692"/>
    </row>
    <row r="666" spans="1:26">
      <c r="A666" s="245">
        <v>45017</v>
      </c>
      <c r="B666" s="256">
        <v>0.50277777777777777</v>
      </c>
      <c r="C666" s="700" t="s">
        <v>34</v>
      </c>
      <c r="D666" s="754"/>
      <c r="E666" s="754"/>
      <c r="F666" s="754"/>
      <c r="G666" s="754"/>
      <c r="H666" s="691">
        <v>24.132999999999999</v>
      </c>
      <c r="I666" s="691">
        <v>23.715</v>
      </c>
      <c r="J666" s="197">
        <v>-76.106999999999999</v>
      </c>
      <c r="K666" s="197">
        <v>125.70099999999999</v>
      </c>
      <c r="L666" s="197">
        <v>-1E-3</v>
      </c>
      <c r="M666" s="197">
        <v>7.7200000000000005E-2</v>
      </c>
      <c r="N666" s="197">
        <v>6.5299999999999997E-2</v>
      </c>
      <c r="O666" s="199" t="s">
        <v>51</v>
      </c>
      <c r="P666" s="692"/>
      <c r="Q666" s="692"/>
      <c r="R666" s="692"/>
      <c r="S666" s="301">
        <v>20130</v>
      </c>
      <c r="T666" s="692"/>
      <c r="U666" s="244">
        <v>3.7000000000000002E-3</v>
      </c>
      <c r="V666" s="244">
        <v>8.3999999999999995E-3</v>
      </c>
      <c r="W666" s="692"/>
      <c r="X666" s="692"/>
      <c r="Y666" s="692"/>
    </row>
    <row r="667" spans="1:26">
      <c r="A667" s="245">
        <v>45017</v>
      </c>
      <c r="B667" s="256">
        <v>0.50694444444444442</v>
      </c>
      <c r="C667" s="700" t="s">
        <v>35</v>
      </c>
      <c r="D667" s="754"/>
      <c r="E667" s="754"/>
      <c r="F667" s="754"/>
      <c r="G667" s="754"/>
      <c r="H667" s="691">
        <v>24.132999999999999</v>
      </c>
      <c r="I667" s="691">
        <v>23.715</v>
      </c>
      <c r="J667" s="197">
        <v>-60.679000000000002</v>
      </c>
      <c r="K667" s="197">
        <v>109.22199999999999</v>
      </c>
      <c r="L667" s="197">
        <v>-2E-3</v>
      </c>
      <c r="M667" s="197">
        <v>7.7399999999999997E-2</v>
      </c>
      <c r="N667" s="197">
        <v>6.5000000000000002E-2</v>
      </c>
      <c r="O667" s="199">
        <v>1131</v>
      </c>
      <c r="P667" s="692"/>
      <c r="Q667" s="692"/>
      <c r="R667" s="692"/>
      <c r="S667" s="301">
        <v>20844</v>
      </c>
      <c r="T667" s="692"/>
      <c r="U667" s="692"/>
      <c r="V667" s="692"/>
      <c r="W667" s="239">
        <v>812.6</v>
      </c>
      <c r="X667" s="239">
        <v>606.6</v>
      </c>
      <c r="Y667" s="692"/>
    </row>
    <row r="668" spans="1:26">
      <c r="A668" s="245">
        <v>45017</v>
      </c>
      <c r="B668" s="256">
        <v>0.51111111111111118</v>
      </c>
      <c r="C668" s="700" t="s">
        <v>59</v>
      </c>
      <c r="D668" s="754"/>
      <c r="E668" s="754"/>
      <c r="F668" s="754"/>
      <c r="G668" s="754"/>
      <c r="H668" s="691">
        <v>24.132999999999999</v>
      </c>
      <c r="I668" s="691">
        <v>23.715</v>
      </c>
      <c r="J668" s="197">
        <v>-83.718000000000004</v>
      </c>
      <c r="K668" s="197">
        <v>149.404</v>
      </c>
      <c r="L668" s="197">
        <v>-1E-3</v>
      </c>
      <c r="M668" s="197">
        <v>7.7100000000000002E-2</v>
      </c>
      <c r="N668" s="197">
        <v>6.5199999999999994E-2</v>
      </c>
      <c r="O668" s="199">
        <v>1130</v>
      </c>
      <c r="P668" s="692"/>
      <c r="Q668" s="692"/>
      <c r="R668" s="692"/>
      <c r="S668" s="301">
        <v>21450</v>
      </c>
      <c r="T668" s="692"/>
      <c r="U668" s="692"/>
      <c r="V668" s="692"/>
      <c r="W668" s="239">
        <v>812.6</v>
      </c>
      <c r="X668" s="239">
        <v>606.6</v>
      </c>
      <c r="Y668" s="692"/>
    </row>
    <row r="669" spans="1:26">
      <c r="A669" s="245">
        <v>45017</v>
      </c>
      <c r="B669" s="256">
        <v>0.51388888888888895</v>
      </c>
      <c r="C669" s="700" t="s">
        <v>36</v>
      </c>
      <c r="D669" s="754"/>
      <c r="E669" s="754"/>
      <c r="F669" s="754"/>
      <c r="G669" s="754"/>
      <c r="H669" s="691">
        <v>24.132999999999999</v>
      </c>
      <c r="I669" s="691">
        <v>23.715</v>
      </c>
      <c r="J669" s="197">
        <v>-105.499</v>
      </c>
      <c r="K669" s="197">
        <v>102.7</v>
      </c>
      <c r="L669" s="197">
        <v>0</v>
      </c>
      <c r="M669" s="197">
        <v>7.7499999999999999E-2</v>
      </c>
      <c r="N669" s="197">
        <v>6.5199999999999994E-2</v>
      </c>
      <c r="O669" s="168"/>
      <c r="P669" s="692"/>
      <c r="Q669" s="197">
        <v>43</v>
      </c>
      <c r="R669" s="197">
        <v>3.4557190000000002</v>
      </c>
      <c r="T669" s="692"/>
      <c r="U669" s="692"/>
      <c r="V669" s="692"/>
      <c r="W669" s="692"/>
      <c r="X669" s="692"/>
      <c r="Y669" s="692"/>
    </row>
    <row r="670" spans="1:26">
      <c r="A670" s="245">
        <v>45017</v>
      </c>
      <c r="B670" s="256">
        <v>0.51944444444444449</v>
      </c>
      <c r="C670" s="700" t="s">
        <v>839</v>
      </c>
      <c r="D670" s="754"/>
      <c r="E670" s="754"/>
      <c r="F670" s="754"/>
      <c r="G670" s="754"/>
      <c r="H670" s="691">
        <v>24.132999999999999</v>
      </c>
      <c r="I670" s="691">
        <v>23.715</v>
      </c>
      <c r="J670" s="197">
        <v>-26.991</v>
      </c>
      <c r="K670" s="197">
        <v>144.601</v>
      </c>
      <c r="L670" s="197">
        <v>0</v>
      </c>
      <c r="M670" s="197">
        <v>7.7200000000000005E-2</v>
      </c>
      <c r="N670" s="197">
        <v>6.5199999999999994E-2</v>
      </c>
      <c r="O670" s="168"/>
      <c r="P670" s="692"/>
      <c r="Q670" s="197"/>
      <c r="R670" s="197"/>
      <c r="T670" s="692"/>
      <c r="U670" s="692"/>
      <c r="V670" s="692"/>
      <c r="W670" s="692"/>
      <c r="X670" s="692"/>
      <c r="Y670" s="692"/>
      <c r="Z670" s="163" t="s">
        <v>840</v>
      </c>
    </row>
    <row r="671" spans="1:26">
      <c r="A671" s="115"/>
      <c r="B671" s="115"/>
      <c r="C671" s="278"/>
      <c r="D671" s="115"/>
      <c r="E671" s="115"/>
      <c r="F671" s="115"/>
      <c r="G671" s="115"/>
      <c r="H671" s="115"/>
      <c r="I671" s="115"/>
      <c r="J671" s="115"/>
      <c r="K671" s="115"/>
      <c r="L671" s="115"/>
      <c r="M671" s="115"/>
      <c r="N671" s="115"/>
      <c r="O671" s="115"/>
      <c r="P671" s="115"/>
      <c r="Q671" s="115"/>
      <c r="R671" s="115"/>
      <c r="S671" s="308"/>
      <c r="T671" s="115"/>
      <c r="U671" s="115"/>
      <c r="V671" s="115"/>
      <c r="W671" s="115"/>
      <c r="X671" s="115"/>
      <c r="Y671" s="115"/>
    </row>
    <row r="672" spans="1:26">
      <c r="A672" s="755" t="s">
        <v>841</v>
      </c>
      <c r="B672" s="755"/>
      <c r="C672" s="755"/>
      <c r="D672" s="755"/>
      <c r="E672" s="755"/>
      <c r="F672" s="755"/>
      <c r="G672" s="755"/>
      <c r="H672" s="755"/>
      <c r="I672" s="755"/>
      <c r="J672" s="755"/>
      <c r="K672" s="755"/>
      <c r="L672" s="755"/>
      <c r="M672" s="755"/>
      <c r="N672" s="755"/>
      <c r="O672" s="755"/>
      <c r="P672" s="755"/>
      <c r="Q672" s="755"/>
      <c r="R672" s="755"/>
      <c r="S672" s="755"/>
      <c r="T672" s="755"/>
      <c r="U672" s="755"/>
      <c r="V672" s="755"/>
      <c r="W672" s="755"/>
      <c r="X672" s="755"/>
      <c r="Y672" s="755"/>
    </row>
    <row r="673" spans="1:26" ht="15" customHeight="1">
      <c r="A673" s="245">
        <v>45019</v>
      </c>
      <c r="B673" s="254">
        <v>0.37083333333333335</v>
      </c>
      <c r="C673" s="700" t="s">
        <v>27</v>
      </c>
      <c r="D673" s="758" t="s">
        <v>842</v>
      </c>
      <c r="E673" s="759"/>
      <c r="F673" s="759"/>
      <c r="G673" s="760"/>
      <c r="H673" s="693">
        <v>24.152999999999999</v>
      </c>
      <c r="I673" s="691">
        <v>23.754999999999999</v>
      </c>
      <c r="J673" s="692"/>
      <c r="K673" s="692"/>
      <c r="L673" s="692"/>
      <c r="M673" s="692"/>
      <c r="N673" s="692"/>
      <c r="O673" s="692"/>
      <c r="P673" s="692"/>
      <c r="Q673" s="197">
        <v>34</v>
      </c>
      <c r="R673" s="197">
        <v>4.0315640000000004</v>
      </c>
      <c r="T673" s="692"/>
      <c r="U673" s="692"/>
      <c r="V673" s="692"/>
      <c r="W673" s="692"/>
      <c r="X673" s="692"/>
      <c r="Y673" s="692"/>
      <c r="Z673" s="164" t="s">
        <v>843</v>
      </c>
    </row>
    <row r="674" spans="1:26">
      <c r="A674" s="245">
        <v>45019</v>
      </c>
      <c r="B674" s="254">
        <v>0.41250000000000003</v>
      </c>
      <c r="C674" s="700" t="s">
        <v>826</v>
      </c>
      <c r="D674" s="145">
        <v>20.222999999999999</v>
      </c>
      <c r="E674" s="145">
        <v>23.892499999999998</v>
      </c>
      <c r="F674" s="145">
        <v>21.7712</v>
      </c>
      <c r="G674" s="145">
        <v>23.570799999999998</v>
      </c>
      <c r="H674" s="691">
        <v>24.152999999999999</v>
      </c>
      <c r="I674" s="691">
        <v>23.754999999999999</v>
      </c>
      <c r="J674" s="692"/>
      <c r="K674" s="692"/>
      <c r="L674" s="692"/>
      <c r="M674" s="692"/>
      <c r="N674" s="692"/>
      <c r="O674" s="229" t="s">
        <v>60</v>
      </c>
      <c r="P674" s="692"/>
      <c r="Q674" s="692"/>
      <c r="R674" s="692"/>
      <c r="S674" s="306">
        <v>95237</v>
      </c>
      <c r="T674" s="692"/>
      <c r="U674" s="197">
        <v>2E-3</v>
      </c>
      <c r="V674" s="197">
        <v>5.9999999999999995E-4</v>
      </c>
      <c r="W674" s="692"/>
      <c r="X674" s="692"/>
      <c r="Y674" s="692"/>
      <c r="Z674" s="164" t="s">
        <v>844</v>
      </c>
    </row>
    <row r="675" spans="1:26">
      <c r="A675" s="245">
        <v>45019</v>
      </c>
      <c r="B675" s="254">
        <v>0.41388888888888892</v>
      </c>
      <c r="C675" s="700" t="s">
        <v>829</v>
      </c>
      <c r="D675" s="145">
        <v>20.222999999999999</v>
      </c>
      <c r="E675" s="145">
        <v>23.892499999999998</v>
      </c>
      <c r="F675" s="145">
        <v>21.7712</v>
      </c>
      <c r="G675" s="145">
        <v>23.570799999999998</v>
      </c>
      <c r="H675" s="691">
        <v>24.132999999999999</v>
      </c>
      <c r="I675" s="691">
        <v>23.715</v>
      </c>
      <c r="J675" s="692"/>
      <c r="K675" s="692"/>
      <c r="L675" s="692"/>
      <c r="M675" s="692"/>
      <c r="N675" s="692"/>
      <c r="O675" s="229" t="s">
        <v>47</v>
      </c>
      <c r="P675" s="692"/>
      <c r="Q675" s="692"/>
      <c r="R675" s="692"/>
      <c r="S675" s="306">
        <v>95531</v>
      </c>
      <c r="T675" s="692"/>
      <c r="U675" s="692"/>
      <c r="V675" s="692"/>
      <c r="W675" s="229">
        <v>809.7</v>
      </c>
      <c r="X675" s="229">
        <v>599.70000000000005</v>
      </c>
      <c r="Y675" s="692"/>
      <c r="Z675" s="164" t="s">
        <v>845</v>
      </c>
    </row>
    <row r="676" spans="1:26">
      <c r="A676" s="245">
        <v>45019</v>
      </c>
      <c r="B676" s="254">
        <v>0.42638888888888887</v>
      </c>
      <c r="C676" s="262" t="s">
        <v>722</v>
      </c>
      <c r="D676" s="145">
        <v>20.222999999999999</v>
      </c>
      <c r="E676" s="145">
        <v>23.892499999999998</v>
      </c>
      <c r="F676" s="145">
        <v>21.7712</v>
      </c>
      <c r="G676" s="145">
        <v>23.570799999999998</v>
      </c>
      <c r="H676" s="197">
        <v>24.63</v>
      </c>
      <c r="I676" s="197">
        <v>23.18</v>
      </c>
      <c r="J676" s="692"/>
      <c r="K676" s="692"/>
      <c r="L676" s="692"/>
      <c r="M676" s="692"/>
      <c r="N676" s="692"/>
      <c r="O676" s="692"/>
      <c r="P676" s="692"/>
      <c r="Q676" s="197">
        <v>7</v>
      </c>
      <c r="R676" s="197">
        <v>4.7624839999999997</v>
      </c>
      <c r="T676" s="692"/>
      <c r="U676" s="692"/>
      <c r="V676" s="692"/>
      <c r="W676" s="692"/>
      <c r="X676" s="692"/>
      <c r="Y676" s="692"/>
      <c r="Z676" s="164" t="s">
        <v>846</v>
      </c>
    </row>
    <row r="677" spans="1:26">
      <c r="A677" s="245">
        <v>45019</v>
      </c>
      <c r="B677" s="254">
        <v>0.42777777777777781</v>
      </c>
      <c r="C677" s="700" t="s">
        <v>27</v>
      </c>
      <c r="D677" s="145">
        <v>20.222999999999999</v>
      </c>
      <c r="E677" s="145">
        <v>23.892499999999998</v>
      </c>
      <c r="F677" s="145">
        <v>21.7712</v>
      </c>
      <c r="G677" s="145">
        <v>23.570799999999998</v>
      </c>
      <c r="H677" s="691">
        <v>24.132999999999999</v>
      </c>
      <c r="I677" s="691">
        <v>23.715</v>
      </c>
      <c r="J677" s="692"/>
      <c r="K677" s="692"/>
      <c r="L677" s="692"/>
      <c r="M677" s="692"/>
      <c r="N677" s="692"/>
      <c r="O677" s="692"/>
      <c r="P677" s="692"/>
      <c r="Q677" s="197">
        <v>60</v>
      </c>
      <c r="R677" s="197">
        <v>4.0316359999999998</v>
      </c>
      <c r="T677" s="692"/>
      <c r="U677" s="692"/>
      <c r="V677" s="692"/>
      <c r="W677" s="692"/>
      <c r="X677" s="692"/>
      <c r="Y677" s="692"/>
      <c r="Z677" s="164"/>
    </row>
    <row r="678" spans="1:26">
      <c r="A678" s="245">
        <v>45019</v>
      </c>
      <c r="B678" s="254">
        <v>0.43055555555555558</v>
      </c>
      <c r="C678" s="700" t="s">
        <v>833</v>
      </c>
      <c r="D678" s="145">
        <v>20.222999999999999</v>
      </c>
      <c r="E678" s="145">
        <v>23.892499999999998</v>
      </c>
      <c r="F678" s="145">
        <v>21.7712</v>
      </c>
      <c r="G678" s="145">
        <v>23.570799999999998</v>
      </c>
      <c r="H678" s="691">
        <v>24.428999999999998</v>
      </c>
      <c r="I678" s="691">
        <v>23.422999999999998</v>
      </c>
      <c r="J678" s="692"/>
      <c r="K678" s="692"/>
      <c r="L678" s="692"/>
      <c r="M678" s="692"/>
      <c r="N678" s="692"/>
      <c r="O678" s="692"/>
      <c r="P678" s="692"/>
      <c r="Q678" s="197">
        <v>22</v>
      </c>
      <c r="R678" s="197">
        <v>4.0211389999999998</v>
      </c>
      <c r="T678" s="692"/>
      <c r="U678" s="692"/>
      <c r="V678" s="692"/>
      <c r="W678" s="692"/>
      <c r="X678" s="692"/>
      <c r="Y678" s="692"/>
      <c r="Z678" s="164" t="s">
        <v>847</v>
      </c>
    </row>
    <row r="679" spans="1:26">
      <c r="A679" s="245">
        <v>45019</v>
      </c>
      <c r="B679" s="254">
        <v>0.44097222222222227</v>
      </c>
      <c r="C679" s="262" t="s">
        <v>826</v>
      </c>
      <c r="D679" s="145">
        <v>20.222999999999999</v>
      </c>
      <c r="E679" s="145">
        <v>23.892499999999998</v>
      </c>
      <c r="F679" s="145">
        <v>21.7712</v>
      </c>
      <c r="G679" s="145">
        <v>23.570799999999998</v>
      </c>
      <c r="H679" s="691">
        <v>24.132999999999999</v>
      </c>
      <c r="I679" s="691">
        <v>23.715</v>
      </c>
      <c r="J679" s="692"/>
      <c r="K679" s="692"/>
      <c r="L679" s="692"/>
      <c r="M679" s="692"/>
      <c r="N679" s="692"/>
      <c r="O679" s="229" t="s">
        <v>68</v>
      </c>
      <c r="P679" s="692"/>
      <c r="Q679" s="692"/>
      <c r="R679" s="692"/>
      <c r="S679" s="306">
        <v>103350</v>
      </c>
      <c r="T679" s="692"/>
      <c r="U679" s="197">
        <v>-2.2000000000000001E-3</v>
      </c>
      <c r="V679" s="197">
        <v>4.1999999999999997E-3</v>
      </c>
      <c r="W679" s="692"/>
      <c r="X679" s="692"/>
      <c r="Y679" s="692"/>
      <c r="Z679" s="164" t="s">
        <v>848</v>
      </c>
    </row>
    <row r="680" spans="1:26">
      <c r="A680" s="245">
        <v>45019</v>
      </c>
      <c r="B680" s="254">
        <v>0.4375</v>
      </c>
      <c r="C680" s="262" t="s">
        <v>829</v>
      </c>
      <c r="D680" s="145">
        <v>20.222999999999999</v>
      </c>
      <c r="E680" s="145">
        <v>23.892499999999998</v>
      </c>
      <c r="F680" s="145">
        <v>21.7712</v>
      </c>
      <c r="G680" s="145">
        <v>23.570799999999998</v>
      </c>
      <c r="H680" s="691">
        <v>24.132999999999999</v>
      </c>
      <c r="I680" s="691">
        <v>23.715</v>
      </c>
      <c r="J680" s="692"/>
      <c r="K680" s="692"/>
      <c r="L680" s="692"/>
      <c r="M680" s="692"/>
      <c r="N680" s="692"/>
      <c r="O680" s="229" t="s">
        <v>47</v>
      </c>
      <c r="P680" s="692"/>
      <c r="Q680" s="692"/>
      <c r="R680" s="692"/>
      <c r="S680" s="306">
        <v>102952</v>
      </c>
      <c r="T680" s="692"/>
      <c r="U680" s="692"/>
      <c r="V680" s="692"/>
      <c r="W680" s="229">
        <v>811.7</v>
      </c>
      <c r="X680" s="229">
        <v>597.6</v>
      </c>
      <c r="Y680" s="692"/>
      <c r="Z680" s="164" t="s">
        <v>849</v>
      </c>
    </row>
    <row r="681" spans="1:26">
      <c r="A681" s="245">
        <v>45019</v>
      </c>
      <c r="B681" s="254">
        <v>0.46736111111111112</v>
      </c>
      <c r="C681" s="700" t="s">
        <v>850</v>
      </c>
      <c r="D681" s="726">
        <v>20.222999999999999</v>
      </c>
      <c r="E681" s="726">
        <v>23.892499999999998</v>
      </c>
      <c r="F681" s="726">
        <v>21.7712</v>
      </c>
      <c r="G681" s="726">
        <v>23.570799999999998</v>
      </c>
      <c r="H681" s="726">
        <v>24.132999999999999</v>
      </c>
      <c r="I681" s="726">
        <v>23.715</v>
      </c>
      <c r="J681" s="229">
        <v>101.508</v>
      </c>
      <c r="K681" s="229">
        <v>125.714</v>
      </c>
      <c r="L681" s="229">
        <v>3.0000000000000001E-3</v>
      </c>
      <c r="M681" s="229">
        <v>0.1288</v>
      </c>
      <c r="N681" s="229">
        <v>7.8700000000000006E-2</v>
      </c>
      <c r="O681" s="229" t="s">
        <v>68</v>
      </c>
      <c r="P681" s="692"/>
      <c r="Q681" s="692"/>
      <c r="R681" s="692"/>
      <c r="S681" s="306">
        <v>111159</v>
      </c>
      <c r="T681" s="692"/>
      <c r="U681" s="197">
        <v>-8.0000000000000004E-4</v>
      </c>
      <c r="V681" s="197">
        <v>1E-4</v>
      </c>
      <c r="W681" s="692"/>
      <c r="X681" s="692"/>
      <c r="Y681" s="692"/>
      <c r="Z681" s="182" t="s">
        <v>851</v>
      </c>
    </row>
    <row r="682" spans="1:26">
      <c r="A682" s="245">
        <v>45019</v>
      </c>
      <c r="B682" s="254">
        <v>0.47916666666666669</v>
      </c>
      <c r="C682" s="700" t="s">
        <v>837</v>
      </c>
      <c r="D682" s="740"/>
      <c r="E682" s="740"/>
      <c r="F682" s="740"/>
      <c r="G682" s="740"/>
      <c r="H682" s="740"/>
      <c r="I682" s="740"/>
      <c r="J682" s="229">
        <v>101.508</v>
      </c>
      <c r="K682" s="229">
        <v>125.714</v>
      </c>
      <c r="L682" s="229">
        <v>3.0000000000000001E-3</v>
      </c>
      <c r="M682" s="197" t="s">
        <v>525</v>
      </c>
      <c r="N682" s="197" t="s">
        <v>525</v>
      </c>
      <c r="O682" s="692"/>
      <c r="P682" s="692"/>
      <c r="Q682" s="197"/>
      <c r="R682" s="197"/>
      <c r="T682" s="692"/>
      <c r="U682" s="692"/>
      <c r="V682" s="692"/>
      <c r="W682" s="692"/>
      <c r="X682" s="692"/>
      <c r="Y682" s="692"/>
      <c r="Z682" s="164" t="s">
        <v>852</v>
      </c>
    </row>
    <row r="683" spans="1:26">
      <c r="A683" s="245">
        <v>45019</v>
      </c>
      <c r="B683" s="254">
        <v>0.4826388888888889</v>
      </c>
      <c r="C683" s="700" t="s">
        <v>32</v>
      </c>
      <c r="D683" s="740"/>
      <c r="E683" s="740"/>
      <c r="F683" s="740"/>
      <c r="G683" s="740"/>
      <c r="H683" s="740"/>
      <c r="I683" s="740"/>
      <c r="J683" s="229">
        <v>88.227999999999994</v>
      </c>
      <c r="K683" s="229">
        <v>108.364</v>
      </c>
      <c r="L683" s="229">
        <v>0</v>
      </c>
      <c r="M683" s="229">
        <v>0.12870000000000001</v>
      </c>
      <c r="N683" s="229">
        <v>7.8700000000000006E-2</v>
      </c>
      <c r="O683" s="231">
        <v>1134</v>
      </c>
      <c r="P683" s="692"/>
      <c r="Q683" s="692"/>
      <c r="R683" s="692"/>
      <c r="S683" s="306">
        <v>113510</v>
      </c>
      <c r="T683" s="692"/>
      <c r="U683" s="692"/>
      <c r="V683" s="692"/>
      <c r="W683" s="229">
        <v>807.2</v>
      </c>
      <c r="X683" s="229">
        <v>602</v>
      </c>
      <c r="Y683" s="692"/>
      <c r="Z683" s="163" t="s">
        <v>853</v>
      </c>
    </row>
    <row r="684" spans="1:26">
      <c r="A684" s="245">
        <v>45019</v>
      </c>
      <c r="B684" s="254">
        <v>0.48541666666666666</v>
      </c>
      <c r="C684" s="700" t="s">
        <v>32</v>
      </c>
      <c r="D684" s="740"/>
      <c r="E684" s="740"/>
      <c r="F684" s="740"/>
      <c r="G684" s="740"/>
      <c r="H684" s="740"/>
      <c r="I684" s="740"/>
      <c r="J684" s="229">
        <v>88.525999999999996</v>
      </c>
      <c r="K684" s="229">
        <v>108.364</v>
      </c>
      <c r="L684" s="229">
        <v>0</v>
      </c>
      <c r="M684" s="229">
        <v>0.12870000000000001</v>
      </c>
      <c r="N684" s="229">
        <v>7.8799999999999995E-2</v>
      </c>
      <c r="O684" s="231">
        <v>1134</v>
      </c>
      <c r="P684" s="692"/>
      <c r="Q684" s="692"/>
      <c r="R684" s="692"/>
      <c r="S684" s="306">
        <v>113931</v>
      </c>
      <c r="T684" s="692"/>
      <c r="U684" s="692"/>
      <c r="V684" s="692"/>
      <c r="W684" s="229">
        <v>812.1</v>
      </c>
      <c r="X684" s="229">
        <v>598.79999999999995</v>
      </c>
      <c r="Y684" s="692"/>
      <c r="Z684" s="163" t="s">
        <v>854</v>
      </c>
    </row>
    <row r="685" spans="1:26">
      <c r="A685" s="245">
        <v>45019</v>
      </c>
      <c r="B685" s="254">
        <v>0.48819444444444443</v>
      </c>
      <c r="C685" s="700" t="s">
        <v>33</v>
      </c>
      <c r="D685" s="740"/>
      <c r="E685" s="740"/>
      <c r="F685" s="740"/>
      <c r="G685" s="740"/>
      <c r="H685" s="740"/>
      <c r="I685" s="740"/>
      <c r="J685" s="229">
        <v>66.887</v>
      </c>
      <c r="K685" s="229">
        <v>102.399</v>
      </c>
      <c r="L685" s="229">
        <v>-1E-3</v>
      </c>
      <c r="M685" s="229">
        <v>0.1288</v>
      </c>
      <c r="N685" s="229">
        <v>7.8799999999999995E-2</v>
      </c>
      <c r="O685" s="692"/>
      <c r="P685" s="692"/>
      <c r="Q685" s="197">
        <v>35</v>
      </c>
      <c r="R685" s="197">
        <v>3.4585170000000001</v>
      </c>
      <c r="T685" s="692"/>
      <c r="U685" s="692"/>
      <c r="V685" s="692"/>
      <c r="W685" s="692"/>
      <c r="X685" s="692"/>
      <c r="Y685" s="692"/>
      <c r="Z685" s="164" t="s">
        <v>855</v>
      </c>
    </row>
    <row r="686" spans="1:26">
      <c r="A686" s="245">
        <v>45019</v>
      </c>
      <c r="B686" s="254">
        <v>0.49444444444444446</v>
      </c>
      <c r="C686" s="700" t="s">
        <v>820</v>
      </c>
      <c r="D686" s="740"/>
      <c r="E686" s="740"/>
      <c r="F686" s="740"/>
      <c r="G686" s="740"/>
      <c r="H686" s="740"/>
      <c r="I686" s="740"/>
      <c r="J686" s="229">
        <v>92.91</v>
      </c>
      <c r="K686" s="229">
        <v>144.90199999999999</v>
      </c>
      <c r="L686" s="229">
        <v>0</v>
      </c>
      <c r="M686" s="229">
        <v>0.1283</v>
      </c>
      <c r="N686" s="229">
        <v>7.8899999999999998E-2</v>
      </c>
      <c r="O686" s="692"/>
      <c r="P686" s="692"/>
      <c r="Q686" s="197">
        <v>25</v>
      </c>
      <c r="R686" s="197">
        <v>3.4665900000000001</v>
      </c>
      <c r="T686" s="692"/>
      <c r="U686" s="692"/>
      <c r="V686" s="692"/>
      <c r="W686" s="692"/>
      <c r="X686" s="692"/>
      <c r="Y686" s="692"/>
      <c r="Z686" s="164" t="s">
        <v>855</v>
      </c>
    </row>
    <row r="687" spans="1:26">
      <c r="A687" s="245">
        <v>45019</v>
      </c>
      <c r="B687" s="254">
        <v>0.4993055555555555</v>
      </c>
      <c r="C687" s="700" t="s">
        <v>819</v>
      </c>
      <c r="D687" s="740"/>
      <c r="E687" s="740"/>
      <c r="F687" s="740"/>
      <c r="G687" s="740"/>
      <c r="H687" s="740"/>
      <c r="I687" s="740"/>
      <c r="J687" s="229">
        <v>111.535</v>
      </c>
      <c r="K687" s="229">
        <v>148.726</v>
      </c>
      <c r="L687" s="229">
        <v>0</v>
      </c>
      <c r="M687" s="229">
        <v>0.1283</v>
      </c>
      <c r="N687" s="229">
        <v>7.8799999999999995E-2</v>
      </c>
      <c r="O687" s="231">
        <v>1134</v>
      </c>
      <c r="P687" s="692"/>
      <c r="Q687" s="692"/>
      <c r="R687" s="692"/>
      <c r="S687" s="306">
        <v>115805</v>
      </c>
      <c r="T687" s="692"/>
      <c r="U687" s="692"/>
      <c r="V687" s="692"/>
      <c r="W687" s="229">
        <v>812.5</v>
      </c>
      <c r="X687" s="229">
        <v>597.9</v>
      </c>
      <c r="Y687" s="692"/>
      <c r="Z687" s="163" t="s">
        <v>853</v>
      </c>
    </row>
    <row r="688" spans="1:26">
      <c r="A688" s="245">
        <v>45019</v>
      </c>
      <c r="B688" s="254">
        <v>0.50277777777777777</v>
      </c>
      <c r="C688" s="700" t="s">
        <v>819</v>
      </c>
      <c r="D688" s="740"/>
      <c r="E688" s="740"/>
      <c r="F688" s="740"/>
      <c r="G688" s="740"/>
      <c r="H688" s="740"/>
      <c r="I688" s="740"/>
      <c r="J688" s="229">
        <v>111.316</v>
      </c>
      <c r="K688" s="229">
        <v>148.726</v>
      </c>
      <c r="L688" s="229">
        <v>0</v>
      </c>
      <c r="M688" s="229">
        <v>0.1283</v>
      </c>
      <c r="N688" s="229">
        <v>7.8899999999999998E-2</v>
      </c>
      <c r="O688" s="231">
        <v>1134</v>
      </c>
      <c r="P688" s="692"/>
      <c r="Q688" s="692"/>
      <c r="R688" s="692"/>
      <c r="S688" s="306">
        <v>120156</v>
      </c>
      <c r="T688" s="692"/>
      <c r="U688" s="692"/>
      <c r="V688" s="692"/>
      <c r="W688" s="229">
        <v>808.1</v>
      </c>
      <c r="X688" s="229">
        <v>600.9</v>
      </c>
      <c r="Y688" s="692"/>
      <c r="Z688" s="163" t="s">
        <v>854</v>
      </c>
    </row>
    <row r="689" spans="1:26">
      <c r="A689" s="245">
        <v>45019</v>
      </c>
      <c r="B689" s="254">
        <v>0.50902777777777775</v>
      </c>
      <c r="C689" s="700" t="s">
        <v>837</v>
      </c>
      <c r="D689" s="740"/>
      <c r="E689" s="740"/>
      <c r="F689" s="740"/>
      <c r="G689" s="740"/>
      <c r="H689" s="691">
        <v>24.428999999999998</v>
      </c>
      <c r="I689" s="691">
        <v>23.422999999999998</v>
      </c>
      <c r="J689" s="229">
        <v>101.505</v>
      </c>
      <c r="K689" s="229">
        <v>125.714</v>
      </c>
      <c r="L689" s="229">
        <v>0</v>
      </c>
      <c r="M689" s="197">
        <v>0.1285</v>
      </c>
      <c r="N689" s="229">
        <v>7.8799999999999995E-2</v>
      </c>
      <c r="O689" s="692"/>
      <c r="P689" s="692"/>
      <c r="Q689" s="197">
        <v>49</v>
      </c>
      <c r="R689" s="197">
        <v>3.4712160000000001</v>
      </c>
      <c r="T689" s="692"/>
      <c r="U689" s="692"/>
      <c r="V689" s="692"/>
      <c r="W689" s="692"/>
      <c r="X689" s="692"/>
      <c r="Y689" s="692"/>
      <c r="Z689" s="164" t="s">
        <v>856</v>
      </c>
    </row>
    <row r="690" spans="1:26">
      <c r="A690" s="245">
        <v>45019</v>
      </c>
      <c r="B690" s="254">
        <v>0.51111111111111118</v>
      </c>
      <c r="C690" s="700" t="s">
        <v>837</v>
      </c>
      <c r="D690" s="727"/>
      <c r="E690" s="727"/>
      <c r="F690" s="727"/>
      <c r="G690" s="727"/>
      <c r="H690" s="691">
        <v>24.428999999999998</v>
      </c>
      <c r="I690" s="691">
        <v>23.422999999999998</v>
      </c>
      <c r="J690" s="229">
        <v>101.505</v>
      </c>
      <c r="K690" s="229">
        <v>125.714</v>
      </c>
      <c r="L690" s="229">
        <v>0</v>
      </c>
      <c r="M690" s="197">
        <v>0.1285</v>
      </c>
      <c r="N690" s="229">
        <v>7.8799999999999995E-2</v>
      </c>
      <c r="O690" s="692"/>
      <c r="P690" s="692"/>
      <c r="Q690" s="197">
        <v>23</v>
      </c>
      <c r="R690" s="197">
        <v>3.4712200000000002</v>
      </c>
      <c r="T690" s="692"/>
      <c r="U690" s="692"/>
      <c r="V690" s="692"/>
      <c r="W690" s="692"/>
      <c r="X690" s="692"/>
      <c r="Y690" s="692"/>
      <c r="Z690" s="163" t="s">
        <v>857</v>
      </c>
    </row>
    <row r="691" spans="1:26">
      <c r="A691" s="692"/>
      <c r="B691" s="692"/>
      <c r="C691" s="700"/>
      <c r="D691" s="147"/>
      <c r="E691" s="147"/>
      <c r="F691" s="147"/>
      <c r="G691" s="147"/>
      <c r="H691" s="692"/>
      <c r="I691" s="692"/>
      <c r="J691" s="692"/>
      <c r="K691" s="692"/>
      <c r="L691" s="692"/>
      <c r="M691" s="692"/>
      <c r="N691" s="692"/>
      <c r="O691" s="692"/>
      <c r="P691" s="692"/>
      <c r="Q691" s="692"/>
      <c r="R691" s="692"/>
      <c r="T691" s="692"/>
      <c r="U691" s="692"/>
      <c r="V691" s="692"/>
      <c r="W691" s="692"/>
      <c r="X691" s="692"/>
      <c r="Y691" s="692"/>
    </row>
    <row r="692" spans="1:26">
      <c r="A692" s="737" t="s">
        <v>858</v>
      </c>
      <c r="B692" s="738"/>
      <c r="C692" s="738"/>
      <c r="D692" s="738"/>
      <c r="E692" s="738"/>
      <c r="F692" s="738"/>
      <c r="G692" s="738"/>
      <c r="H692" s="738"/>
      <c r="I692" s="738"/>
      <c r="J692" s="738"/>
      <c r="K692" s="738"/>
      <c r="L692" s="738"/>
      <c r="M692" s="738"/>
      <c r="N692" s="738"/>
      <c r="O692" s="738"/>
      <c r="P692" s="738"/>
      <c r="Q692" s="738"/>
      <c r="R692" s="738"/>
      <c r="S692" s="738"/>
      <c r="T692" s="738"/>
      <c r="U692" s="738"/>
      <c r="V692" s="738"/>
      <c r="W692" s="738"/>
      <c r="X692" s="739"/>
      <c r="Y692" s="692"/>
    </row>
    <row r="693" spans="1:26">
      <c r="A693" s="245">
        <v>45022</v>
      </c>
      <c r="B693" s="254">
        <v>0.40625</v>
      </c>
      <c r="C693" s="700" t="s">
        <v>826</v>
      </c>
      <c r="D693" s="145">
        <v>20.156099999999999</v>
      </c>
      <c r="E693" s="145">
        <v>24.071200000000001</v>
      </c>
      <c r="F693" s="145">
        <v>22.028760000000002</v>
      </c>
      <c r="G693" s="145">
        <v>23.551920000000003</v>
      </c>
      <c r="H693" s="691">
        <v>24.428999999999998</v>
      </c>
      <c r="I693" s="691">
        <v>23.422999999999998</v>
      </c>
      <c r="J693" s="692"/>
      <c r="K693" s="692"/>
      <c r="L693" s="692"/>
      <c r="M693" s="692"/>
      <c r="N693" s="692"/>
      <c r="O693" s="229" t="s">
        <v>51</v>
      </c>
      <c r="P693" s="692"/>
      <c r="Q693" s="692"/>
      <c r="R693" s="692"/>
      <c r="S693" s="306">
        <v>94415</v>
      </c>
      <c r="T693" s="692"/>
      <c r="U693" s="197">
        <v>4.1000000000000003E-3</v>
      </c>
      <c r="V693" s="197">
        <v>4.0000000000000002E-4</v>
      </c>
      <c r="W693" s="692"/>
      <c r="X693" s="692"/>
      <c r="Y693" s="692"/>
      <c r="Z693" s="163" t="s">
        <v>859</v>
      </c>
    </row>
    <row r="694" spans="1:26">
      <c r="A694" s="245">
        <v>45022</v>
      </c>
      <c r="B694" s="254">
        <v>0.4145833333333333</v>
      </c>
      <c r="C694" s="700" t="s">
        <v>829</v>
      </c>
      <c r="D694" s="145">
        <v>20.156099999999999</v>
      </c>
      <c r="E694" s="145">
        <v>24.071200000000001</v>
      </c>
      <c r="F694" s="145">
        <v>22.028760000000002</v>
      </c>
      <c r="G694" s="145">
        <v>23.551920000000003</v>
      </c>
      <c r="H694" s="691">
        <v>24.428999999999998</v>
      </c>
      <c r="I694" s="691">
        <v>23.422999999999998</v>
      </c>
      <c r="J694" s="692"/>
      <c r="K694" s="692"/>
      <c r="L694" s="692"/>
      <c r="M694" s="692"/>
      <c r="N694" s="692"/>
      <c r="O694" s="229" t="s">
        <v>82</v>
      </c>
      <c r="P694" s="692"/>
      <c r="Q694" s="692"/>
      <c r="R694" s="692"/>
      <c r="S694" s="306">
        <v>95625</v>
      </c>
      <c r="T694" s="692"/>
      <c r="U694" s="692"/>
      <c r="V694" s="692"/>
      <c r="W694" s="229">
        <v>810.75</v>
      </c>
      <c r="X694" s="229">
        <v>598.6</v>
      </c>
      <c r="Y694" s="692"/>
    </row>
    <row r="695" spans="1:26">
      <c r="A695" s="245">
        <v>45022</v>
      </c>
      <c r="B695" s="254">
        <v>0.43263888888888885</v>
      </c>
      <c r="C695" s="262" t="s">
        <v>722</v>
      </c>
      <c r="D695" s="145">
        <v>20.156099999999999</v>
      </c>
      <c r="E695" s="145">
        <v>24.071200000000001</v>
      </c>
      <c r="F695" s="145">
        <v>22.028760000000002</v>
      </c>
      <c r="G695" s="145">
        <v>23.551920000000003</v>
      </c>
      <c r="H695" s="197">
        <v>24.63</v>
      </c>
      <c r="I695" s="197">
        <v>23.18</v>
      </c>
      <c r="J695" s="692"/>
      <c r="K695" s="692"/>
      <c r="L695" s="692"/>
      <c r="M695" s="692"/>
      <c r="N695" s="692"/>
      <c r="O695" s="692"/>
      <c r="P695" s="692"/>
      <c r="Q695" s="197">
        <v>7</v>
      </c>
      <c r="R695" s="197">
        <v>4.7582380000000004</v>
      </c>
      <c r="T695" s="692"/>
      <c r="U695" s="692"/>
      <c r="V695" s="692"/>
      <c r="W695" s="692"/>
      <c r="X695" s="692"/>
      <c r="Y695" s="692"/>
    </row>
    <row r="696" spans="1:26">
      <c r="A696" s="245">
        <v>45022</v>
      </c>
      <c r="B696" s="254">
        <v>0.43055555555555558</v>
      </c>
      <c r="C696" s="700" t="s">
        <v>27</v>
      </c>
      <c r="D696" s="145">
        <v>20.156099999999999</v>
      </c>
      <c r="E696" s="145">
        <v>24.071200000000001</v>
      </c>
      <c r="F696" s="145">
        <v>22.028760000000002</v>
      </c>
      <c r="G696" s="145">
        <v>23.551920000000003</v>
      </c>
      <c r="H696" s="693">
        <v>24.152999999999999</v>
      </c>
      <c r="I696" s="691">
        <v>23.754999999999999</v>
      </c>
      <c r="J696" s="692"/>
      <c r="K696" s="692"/>
      <c r="L696" s="692"/>
      <c r="M696" s="692"/>
      <c r="N696" s="692"/>
      <c r="O696" s="692"/>
      <c r="P696" s="692"/>
      <c r="Q696" s="197">
        <v>16</v>
      </c>
      <c r="R696" s="197">
        <v>4.0273209999999997</v>
      </c>
      <c r="T696" s="692"/>
      <c r="U696" s="692"/>
      <c r="V696" s="692"/>
      <c r="W696" s="692"/>
      <c r="X696" s="692"/>
      <c r="Y696" s="692"/>
    </row>
    <row r="697" spans="1:26">
      <c r="A697" s="245">
        <v>45022</v>
      </c>
      <c r="B697" s="254">
        <v>0.42291666666666666</v>
      </c>
      <c r="C697" s="700" t="s">
        <v>833</v>
      </c>
      <c r="D697" s="145">
        <v>20.156099999999999</v>
      </c>
      <c r="E697" s="145">
        <v>24.071200000000001</v>
      </c>
      <c r="F697" s="145">
        <v>22.028760000000002</v>
      </c>
      <c r="G697" s="145">
        <v>23.551920000000003</v>
      </c>
      <c r="H697" s="691" t="s">
        <v>525</v>
      </c>
      <c r="I697" s="691" t="s">
        <v>525</v>
      </c>
      <c r="J697" s="692" t="s">
        <v>860</v>
      </c>
      <c r="K697" s="692"/>
      <c r="L697" s="692"/>
      <c r="M697" s="692"/>
      <c r="N697" s="692"/>
      <c r="O697" s="692"/>
      <c r="P697" s="692"/>
      <c r="Q697" s="197">
        <v>28</v>
      </c>
      <c r="R697" s="197">
        <v>4.0167950000000001</v>
      </c>
      <c r="T697" s="692"/>
      <c r="U697" s="692"/>
      <c r="V697" s="692"/>
      <c r="W697" s="692"/>
      <c r="X697" s="692"/>
      <c r="Y697" s="692"/>
      <c r="Z697" s="163" t="s">
        <v>861</v>
      </c>
    </row>
    <row r="698" spans="1:26">
      <c r="A698" s="245">
        <v>45022</v>
      </c>
      <c r="B698" s="254">
        <v>0.4368055555555555</v>
      </c>
      <c r="C698" s="700" t="s">
        <v>833</v>
      </c>
      <c r="D698" s="145">
        <v>20.156099999999999</v>
      </c>
      <c r="E698" s="145">
        <v>24.071200000000001</v>
      </c>
      <c r="F698" s="145">
        <v>22.028760000000002</v>
      </c>
      <c r="G698" s="145">
        <v>23.551920000000003</v>
      </c>
      <c r="H698" s="691">
        <v>24.434999999999999</v>
      </c>
      <c r="I698" s="691">
        <v>23.425999999999998</v>
      </c>
      <c r="J698" s="692" t="s">
        <v>862</v>
      </c>
      <c r="K698" s="692"/>
      <c r="L698" s="692"/>
      <c r="M698" s="692"/>
      <c r="N698" s="692"/>
      <c r="O698" s="692"/>
      <c r="P698" s="692"/>
      <c r="Q698" s="197">
        <v>18</v>
      </c>
      <c r="R698" s="197">
        <v>4.0168189999999999</v>
      </c>
      <c r="T698" s="692"/>
      <c r="U698" s="692"/>
      <c r="V698" s="692"/>
      <c r="W698" s="692"/>
      <c r="X698" s="692"/>
      <c r="Y698" s="692"/>
      <c r="Z698" s="35" t="s">
        <v>863</v>
      </c>
    </row>
    <row r="699" spans="1:26">
      <c r="A699" s="245">
        <v>45022</v>
      </c>
      <c r="B699" s="254">
        <v>0.44513888888888892</v>
      </c>
      <c r="C699" s="262" t="s">
        <v>826</v>
      </c>
      <c r="D699" s="145">
        <v>20.156099999999999</v>
      </c>
      <c r="E699" s="145">
        <v>24.071200000000001</v>
      </c>
      <c r="F699" s="145">
        <v>22.028760000000002</v>
      </c>
      <c r="G699" s="145">
        <v>23.551920000000003</v>
      </c>
      <c r="H699" s="691">
        <v>24.434999999999999</v>
      </c>
      <c r="I699" s="691">
        <v>23.425999999999998</v>
      </c>
      <c r="J699" s="692"/>
      <c r="K699" s="692"/>
      <c r="L699" s="692"/>
      <c r="M699" s="692"/>
      <c r="N699" s="692"/>
      <c r="O699" s="229" t="s">
        <v>68</v>
      </c>
      <c r="P699" s="692"/>
      <c r="Q699" s="692"/>
      <c r="R699" s="692"/>
      <c r="S699" s="306">
        <v>104154</v>
      </c>
      <c r="T699" s="692"/>
      <c r="U699" s="197">
        <v>2E-3</v>
      </c>
      <c r="V699" s="197">
        <v>1.1000000000000001E-3</v>
      </c>
      <c r="W699" s="692"/>
      <c r="X699" s="692"/>
      <c r="Y699" s="692"/>
      <c r="Z699" s="746" t="s">
        <v>864</v>
      </c>
    </row>
    <row r="700" spans="1:26">
      <c r="A700" s="245">
        <v>45022</v>
      </c>
      <c r="B700" s="254">
        <v>0.44861111111111113</v>
      </c>
      <c r="C700" s="262" t="s">
        <v>829</v>
      </c>
      <c r="D700" s="145">
        <v>20.156099999999999</v>
      </c>
      <c r="E700" s="145">
        <v>24.071200000000001</v>
      </c>
      <c r="F700" s="145">
        <v>22.028760000000002</v>
      </c>
      <c r="G700" s="145">
        <v>23.551920000000003</v>
      </c>
      <c r="H700" s="691">
        <v>24.434999999999999</v>
      </c>
      <c r="I700" s="691">
        <v>23.425999999999998</v>
      </c>
      <c r="J700" s="692"/>
      <c r="K700" s="692"/>
      <c r="L700" s="692"/>
      <c r="M700" s="692"/>
      <c r="N700" s="692"/>
      <c r="O700" s="229" t="s">
        <v>82</v>
      </c>
      <c r="P700" s="692"/>
      <c r="Q700" s="692"/>
      <c r="R700" s="692"/>
      <c r="S700" s="306">
        <v>104305</v>
      </c>
      <c r="T700" s="692"/>
      <c r="U700" s="692"/>
      <c r="V700" s="692"/>
      <c r="W700" s="229">
        <v>810.8</v>
      </c>
      <c r="X700" s="229">
        <v>597.79999999999995</v>
      </c>
      <c r="Y700" s="692"/>
      <c r="Z700" s="747"/>
    </row>
    <row r="701" spans="1:26">
      <c r="A701" s="245">
        <v>45022</v>
      </c>
      <c r="B701" s="254">
        <v>0.50208333333333333</v>
      </c>
      <c r="C701" s="262" t="s">
        <v>826</v>
      </c>
      <c r="D701" s="145">
        <v>20.156099999999999</v>
      </c>
      <c r="E701" s="145">
        <v>24.071200000000001</v>
      </c>
      <c r="F701" s="145">
        <v>22.028760000000002</v>
      </c>
      <c r="G701" s="145">
        <v>23.551920000000003</v>
      </c>
      <c r="H701" s="691">
        <v>24.434999999999999</v>
      </c>
      <c r="I701" s="691">
        <v>23.425999999999998</v>
      </c>
      <c r="J701" s="692"/>
      <c r="K701" s="692"/>
      <c r="L701" s="692"/>
      <c r="M701" s="692"/>
      <c r="N701" s="692"/>
      <c r="O701" s="229" t="s">
        <v>68</v>
      </c>
      <c r="P701" s="692"/>
      <c r="Q701" s="692"/>
      <c r="R701" s="692"/>
      <c r="S701" s="306">
        <v>120335</v>
      </c>
      <c r="T701" s="692"/>
      <c r="U701" s="197">
        <v>2.7000000000000001E-3</v>
      </c>
      <c r="V701" s="197">
        <v>3.8999999999999998E-3</v>
      </c>
      <c r="W701" s="692"/>
      <c r="X701" s="692"/>
      <c r="Y701" s="692"/>
      <c r="Z701" s="747"/>
    </row>
    <row r="702" spans="1:26">
      <c r="A702" s="245">
        <v>45022</v>
      </c>
      <c r="B702" s="254">
        <v>1200</v>
      </c>
      <c r="C702" s="262" t="s">
        <v>829</v>
      </c>
      <c r="D702" s="145">
        <v>20.156099999999999</v>
      </c>
      <c r="E702" s="145">
        <v>24.071200000000001</v>
      </c>
      <c r="F702" s="145">
        <v>22.028760000000002</v>
      </c>
      <c r="G702" s="145">
        <v>23.551920000000003</v>
      </c>
      <c r="H702" s="691">
        <v>24.434999999999999</v>
      </c>
      <c r="I702" s="691">
        <v>23.425999999999998</v>
      </c>
      <c r="J702" s="692"/>
      <c r="K702" s="692"/>
      <c r="L702" s="692"/>
      <c r="M702" s="692"/>
      <c r="N702" s="692"/>
      <c r="O702" s="229" t="s">
        <v>82</v>
      </c>
      <c r="P702" s="692"/>
      <c r="Q702" s="692"/>
      <c r="R702" s="692"/>
      <c r="S702" s="306">
        <v>120017</v>
      </c>
      <c r="T702" s="692"/>
      <c r="U702" s="692"/>
      <c r="V702" s="692"/>
      <c r="W702" s="229">
        <v>812.61500000000001</v>
      </c>
      <c r="X702" s="229">
        <v>597.56799999999998</v>
      </c>
      <c r="Y702" s="692"/>
      <c r="Z702" s="747"/>
    </row>
    <row r="703" spans="1:26">
      <c r="A703" s="245">
        <v>45022</v>
      </c>
      <c r="B703" s="254">
        <v>0.5444444444444444</v>
      </c>
      <c r="C703" s="262" t="s">
        <v>826</v>
      </c>
      <c r="D703" s="145">
        <v>20.156099999999999</v>
      </c>
      <c r="E703" s="145">
        <v>24.071200000000001</v>
      </c>
      <c r="F703" s="145">
        <v>22.028760000000002</v>
      </c>
      <c r="G703" s="145">
        <v>23.551920000000003</v>
      </c>
      <c r="H703" s="691">
        <v>24.434999999999999</v>
      </c>
      <c r="I703" s="691">
        <v>23.425999999999998</v>
      </c>
      <c r="J703" s="692"/>
      <c r="K703" s="692"/>
      <c r="L703" s="692"/>
      <c r="M703" s="692"/>
      <c r="N703" s="692"/>
      <c r="O703" s="229" t="s">
        <v>51</v>
      </c>
      <c r="P703" s="692"/>
      <c r="Q703" s="692"/>
      <c r="R703" s="692"/>
      <c r="S703" s="306">
        <v>130303</v>
      </c>
      <c r="T703" s="692"/>
      <c r="U703" s="197">
        <v>4.7999999999999996E-3</v>
      </c>
      <c r="V703" s="197">
        <v>4.1999999999999997E-3</v>
      </c>
      <c r="W703" s="692"/>
      <c r="X703" s="692"/>
      <c r="Y703" s="692"/>
      <c r="Z703" s="747"/>
    </row>
    <row r="704" spans="1:26">
      <c r="A704" s="245">
        <v>45022</v>
      </c>
      <c r="B704" s="254">
        <v>0.54722222222222217</v>
      </c>
      <c r="C704" s="262" t="s">
        <v>829</v>
      </c>
      <c r="D704" s="145">
        <v>20.156099999999999</v>
      </c>
      <c r="E704" s="145">
        <v>24.071200000000001</v>
      </c>
      <c r="F704" s="145">
        <v>22.028760000000002</v>
      </c>
      <c r="G704" s="145">
        <v>23.551920000000003</v>
      </c>
      <c r="H704" s="691">
        <v>24.434999999999999</v>
      </c>
      <c r="I704" s="691">
        <v>23.425999999999998</v>
      </c>
      <c r="J704" s="692"/>
      <c r="K704" s="692"/>
      <c r="L704" s="692"/>
      <c r="M704" s="692"/>
      <c r="N704" s="692"/>
      <c r="O704" s="229" t="s">
        <v>355</v>
      </c>
      <c r="P704" s="692"/>
      <c r="Q704" s="692"/>
      <c r="R704" s="692"/>
      <c r="S704" s="306">
        <v>130646</v>
      </c>
      <c r="T704" s="692"/>
      <c r="U704" s="692"/>
      <c r="V704" s="692"/>
      <c r="W704" s="229">
        <v>811.87</v>
      </c>
      <c r="X704" s="229">
        <v>597.62800000000004</v>
      </c>
      <c r="Y704" s="692"/>
      <c r="Z704" s="748"/>
    </row>
    <row r="705" spans="1:26">
      <c r="A705" s="245">
        <v>45022</v>
      </c>
      <c r="B705" s="254">
        <v>0.59027777777777779</v>
      </c>
      <c r="C705" s="262" t="s">
        <v>826</v>
      </c>
      <c r="D705" s="145">
        <v>20.156099999999999</v>
      </c>
      <c r="E705" s="145">
        <v>24.071200000000001</v>
      </c>
      <c r="F705" s="145">
        <v>22.028760000000002</v>
      </c>
      <c r="G705" s="145">
        <v>23.551920000000003</v>
      </c>
      <c r="H705" s="691">
        <v>24.434999999999999</v>
      </c>
      <c r="I705" s="691">
        <v>23.425999999999998</v>
      </c>
      <c r="J705" s="692"/>
      <c r="K705" s="692"/>
      <c r="L705" s="692"/>
      <c r="M705" s="692"/>
      <c r="N705" s="692"/>
      <c r="O705" s="229" t="s">
        <v>51</v>
      </c>
      <c r="P705" s="692"/>
      <c r="Q705" s="692"/>
      <c r="R705" s="692"/>
      <c r="S705" s="306">
        <v>140926</v>
      </c>
      <c r="T705" s="692"/>
      <c r="U705" s="197">
        <v>1.6999999999999999E-3</v>
      </c>
      <c r="V705" s="197">
        <v>2.8E-3</v>
      </c>
      <c r="W705" s="692"/>
      <c r="X705" s="692"/>
      <c r="Y705" s="692"/>
      <c r="Z705" s="699"/>
    </row>
    <row r="706" spans="1:26">
      <c r="A706" s="245">
        <v>45022</v>
      </c>
      <c r="B706" s="254">
        <v>0.58194444444444449</v>
      </c>
      <c r="C706" s="262" t="s">
        <v>829</v>
      </c>
      <c r="D706" s="145">
        <v>20.156099999999999</v>
      </c>
      <c r="E706" s="145">
        <v>24.071200000000001</v>
      </c>
      <c r="F706" s="145">
        <v>22.028760000000002</v>
      </c>
      <c r="G706" s="145">
        <v>23.551920000000003</v>
      </c>
      <c r="H706" s="691">
        <v>24.434999999999999</v>
      </c>
      <c r="I706" s="691">
        <v>23.425999999999998</v>
      </c>
      <c r="J706" s="692"/>
      <c r="K706" s="692"/>
      <c r="L706" s="692"/>
      <c r="M706" s="692"/>
      <c r="N706" s="692"/>
      <c r="O706" s="229" t="s">
        <v>313</v>
      </c>
      <c r="P706" s="692"/>
      <c r="Q706" s="692"/>
      <c r="R706" s="692"/>
      <c r="S706" s="306">
        <v>135828</v>
      </c>
      <c r="T706" s="692"/>
      <c r="U706" s="692"/>
      <c r="V706" s="692"/>
      <c r="W706" s="229">
        <v>812.67100000000005</v>
      </c>
      <c r="X706" s="229">
        <v>596.77</v>
      </c>
      <c r="Y706" s="692"/>
      <c r="Z706" s="699"/>
    </row>
    <row r="707" spans="1:26">
      <c r="A707" s="245">
        <v>45022</v>
      </c>
      <c r="B707" s="254">
        <v>0.63402777777777775</v>
      </c>
      <c r="C707" s="700" t="s">
        <v>850</v>
      </c>
      <c r="D707" s="726">
        <f t="shared" ref="D707:I707" si="0">D706</f>
        <v>20.156099999999999</v>
      </c>
      <c r="E707" s="726">
        <f t="shared" si="0"/>
        <v>24.071200000000001</v>
      </c>
      <c r="F707" s="726">
        <f t="shared" si="0"/>
        <v>22.028760000000002</v>
      </c>
      <c r="G707" s="726">
        <f t="shared" si="0"/>
        <v>23.551920000000003</v>
      </c>
      <c r="H707" s="726">
        <f t="shared" si="0"/>
        <v>24.434999999999999</v>
      </c>
      <c r="I707" s="726">
        <f t="shared" si="0"/>
        <v>23.425999999999998</v>
      </c>
      <c r="J707" s="229">
        <v>101.51</v>
      </c>
      <c r="K707" s="229">
        <v>125.714</v>
      </c>
      <c r="L707" s="229">
        <v>1E-3</v>
      </c>
      <c r="M707" s="229">
        <v>9.9699999999999997E-2</v>
      </c>
      <c r="N707" s="229">
        <v>8.72E-2</v>
      </c>
      <c r="O707" s="229" t="s">
        <v>626</v>
      </c>
      <c r="P707" s="692"/>
      <c r="Q707" s="692"/>
      <c r="R707" s="692"/>
      <c r="S707" s="306">
        <v>151134</v>
      </c>
      <c r="T707" s="692"/>
      <c r="U707" s="197">
        <v>1.2999999999999999E-3</v>
      </c>
      <c r="V707" s="197">
        <v>1E-4</v>
      </c>
      <c r="W707" s="692"/>
      <c r="X707" s="692"/>
      <c r="Y707" s="692"/>
    </row>
    <row r="708" spans="1:26">
      <c r="A708" s="245">
        <v>45022</v>
      </c>
      <c r="B708" s="254">
        <v>0.63263888888888886</v>
      </c>
      <c r="C708" s="700" t="s">
        <v>837</v>
      </c>
      <c r="D708" s="740"/>
      <c r="E708" s="740"/>
      <c r="F708" s="740"/>
      <c r="G708" s="740"/>
      <c r="H708" s="741"/>
      <c r="I708" s="741"/>
      <c r="J708" s="229">
        <v>101.51</v>
      </c>
      <c r="K708" s="229">
        <v>125.714</v>
      </c>
      <c r="L708" s="229">
        <v>1E-3</v>
      </c>
      <c r="M708" s="229">
        <v>9.9699999999999997E-2</v>
      </c>
      <c r="N708" s="229">
        <v>8.72E-2</v>
      </c>
      <c r="O708" s="692"/>
      <c r="P708" s="692"/>
      <c r="Q708" s="197">
        <v>13</v>
      </c>
      <c r="R708" s="197">
        <v>3.4683899999999999</v>
      </c>
      <c r="T708" s="692"/>
      <c r="U708" s="692"/>
      <c r="V708" s="692"/>
      <c r="W708" s="692"/>
      <c r="X708" s="692"/>
      <c r="Y708" s="692"/>
    </row>
    <row r="709" spans="1:26">
      <c r="A709" s="245">
        <v>45022</v>
      </c>
      <c r="B709" s="254">
        <v>0.65625</v>
      </c>
      <c r="C709" s="700" t="s">
        <v>32</v>
      </c>
      <c r="D709" s="740"/>
      <c r="E709" s="740"/>
      <c r="F709" s="740"/>
      <c r="G709" s="740"/>
      <c r="H709" s="761"/>
      <c r="I709" s="761"/>
      <c r="J709" s="229">
        <v>88.51</v>
      </c>
      <c r="K709" s="229">
        <v>109.27500000000001</v>
      </c>
      <c r="L709" s="229">
        <v>2E-3</v>
      </c>
      <c r="M709" s="229">
        <v>9.98E-2</v>
      </c>
      <c r="N709" s="229">
        <v>8.7400000000000005E-2</v>
      </c>
      <c r="O709" s="231">
        <v>1128</v>
      </c>
      <c r="P709" s="692"/>
      <c r="Q709" s="692"/>
      <c r="R709" s="692"/>
      <c r="S709" s="306">
        <v>154505</v>
      </c>
      <c r="T709" s="692"/>
      <c r="U709" s="692"/>
      <c r="V709" s="692"/>
      <c r="W709" s="229">
        <v>812.74300000000005</v>
      </c>
      <c r="X709" s="229">
        <v>596.80799999999999</v>
      </c>
      <c r="Y709" s="692"/>
    </row>
    <row r="710" spans="1:26">
      <c r="A710" s="245">
        <v>45022</v>
      </c>
      <c r="B710" s="254">
        <v>0.66666666666666663</v>
      </c>
      <c r="C710" s="700" t="s">
        <v>33</v>
      </c>
      <c r="D710" s="740"/>
      <c r="E710" s="740"/>
      <c r="F710" s="740"/>
      <c r="G710" s="740"/>
      <c r="H710" s="690">
        <v>24.152999999999999</v>
      </c>
      <c r="I710" s="690">
        <v>24.754999999999999</v>
      </c>
      <c r="J710" s="229">
        <v>66.686999999999998</v>
      </c>
      <c r="K710" s="229">
        <v>102.4</v>
      </c>
      <c r="L710" s="229">
        <v>0</v>
      </c>
      <c r="M710" s="229">
        <v>9.98E-2</v>
      </c>
      <c r="N710" s="229">
        <v>8.7400000000000005E-2</v>
      </c>
      <c r="O710" s="692"/>
      <c r="P710" s="692"/>
      <c r="Q710" s="197">
        <v>15</v>
      </c>
      <c r="R710" s="197">
        <v>3.4557069999999999</v>
      </c>
      <c r="T710" s="692"/>
      <c r="U710" s="692"/>
      <c r="V710" s="692"/>
      <c r="W710" s="692"/>
      <c r="X710" s="692"/>
      <c r="Y710" s="692"/>
    </row>
    <row r="711" spans="1:26">
      <c r="A711" s="245">
        <v>45022</v>
      </c>
      <c r="B711" s="254">
        <v>0.6875</v>
      </c>
      <c r="C711" s="700" t="s">
        <v>865</v>
      </c>
      <c r="D711" s="740"/>
      <c r="E711" s="740"/>
      <c r="F711" s="740"/>
      <c r="G711" s="740"/>
      <c r="H711" s="689">
        <v>24.434999999999999</v>
      </c>
      <c r="I711" s="689">
        <v>23.425999999999998</v>
      </c>
      <c r="J711" s="229">
        <v>-76.114000000000004</v>
      </c>
      <c r="K711" s="229">
        <v>125.7</v>
      </c>
      <c r="L711" s="229">
        <v>-2E-3</v>
      </c>
      <c r="M711" s="197">
        <v>8.48E-2</v>
      </c>
      <c r="N711" s="229">
        <v>6.9900000000000004E-2</v>
      </c>
      <c r="O711" s="692"/>
      <c r="P711" s="692"/>
      <c r="Q711" s="197">
        <v>19</v>
      </c>
      <c r="R711" s="197">
        <v>3.4683989999999998</v>
      </c>
      <c r="S711" s="306">
        <v>162826</v>
      </c>
      <c r="T711" s="692"/>
      <c r="U711" s="197">
        <v>2E-3</v>
      </c>
      <c r="V711" s="197">
        <v>2.2000000000000001E-3</v>
      </c>
      <c r="W711" s="692"/>
      <c r="X711" s="692"/>
      <c r="Y711" s="692"/>
      <c r="Z711" s="163" t="s">
        <v>866</v>
      </c>
    </row>
    <row r="712" spans="1:26">
      <c r="A712" s="245">
        <v>45022</v>
      </c>
      <c r="B712" s="254">
        <v>0.70208333333333339</v>
      </c>
      <c r="C712" s="700" t="s">
        <v>59</v>
      </c>
      <c r="D712" s="762"/>
      <c r="E712" s="762"/>
      <c r="F712" s="762"/>
      <c r="G712" s="762"/>
      <c r="H712" s="689">
        <v>24.434999999999999</v>
      </c>
      <c r="I712" s="689">
        <v>23.425999999999998</v>
      </c>
      <c r="J712" s="197">
        <v>-83.677000000000007</v>
      </c>
      <c r="K712" s="197">
        <v>149.38499999999999</v>
      </c>
      <c r="L712" s="197">
        <v>1E-3</v>
      </c>
      <c r="M712" s="197">
        <v>7.7100000000000002E-2</v>
      </c>
      <c r="N712" s="197">
        <v>6.5199999999999994E-2</v>
      </c>
      <c r="O712" s="199">
        <v>1128</v>
      </c>
      <c r="P712" s="692"/>
      <c r="Q712" s="692"/>
      <c r="R712" s="692"/>
      <c r="S712" s="301">
        <v>165008</v>
      </c>
      <c r="T712" s="692"/>
      <c r="U712" s="692"/>
      <c r="V712" s="692"/>
      <c r="W712" s="197">
        <v>812.59400000000005</v>
      </c>
      <c r="X712" s="199">
        <v>597.50900000000001</v>
      </c>
      <c r="Y712" s="692"/>
    </row>
    <row r="713" spans="1:26">
      <c r="A713" s="245">
        <v>45022</v>
      </c>
      <c r="B713" s="254">
        <v>0.70486111111111116</v>
      </c>
      <c r="C713" s="700" t="s">
        <v>839</v>
      </c>
      <c r="D713" s="763"/>
      <c r="E713" s="763"/>
      <c r="F713" s="763"/>
      <c r="G713" s="763"/>
      <c r="H713" s="690">
        <v>24.152999999999999</v>
      </c>
      <c r="I713" s="690">
        <v>24.754999999999999</v>
      </c>
      <c r="J713" s="309" t="s">
        <v>867</v>
      </c>
      <c r="K713" s="197"/>
      <c r="L713" s="197"/>
      <c r="M713" s="197"/>
      <c r="N713" s="197"/>
      <c r="O713" s="168"/>
      <c r="P713" s="692"/>
      <c r="Q713" s="197">
        <v>1</v>
      </c>
      <c r="R713" s="197" t="s">
        <v>868</v>
      </c>
      <c r="T713" s="692"/>
      <c r="U713" s="692"/>
      <c r="V713" s="692"/>
      <c r="W713" s="692"/>
      <c r="X713" s="692"/>
      <c r="Y713" s="692"/>
      <c r="Z713" s="163" t="s">
        <v>869</v>
      </c>
    </row>
    <row r="714" spans="1:26">
      <c r="A714" s="245">
        <v>45022</v>
      </c>
      <c r="B714" s="254">
        <v>0.72638888888888886</v>
      </c>
      <c r="C714" s="262" t="s">
        <v>25</v>
      </c>
      <c r="D714" s="145">
        <v>20.156099999999999</v>
      </c>
      <c r="E714" s="145">
        <v>24.071200000000001</v>
      </c>
      <c r="F714" s="145">
        <v>22.028760000000002</v>
      </c>
      <c r="G714" s="145">
        <v>23.551920000000003</v>
      </c>
      <c r="H714" s="691">
        <v>24.431999999999999</v>
      </c>
      <c r="I714" s="691">
        <v>23.425999999999998</v>
      </c>
      <c r="J714" s="692"/>
      <c r="K714" s="692"/>
      <c r="L714" s="692"/>
      <c r="M714" s="692"/>
      <c r="N714" s="692"/>
      <c r="O714" s="229" t="s">
        <v>68</v>
      </c>
      <c r="P714" s="692"/>
      <c r="Q714" s="197">
        <v>18</v>
      </c>
      <c r="R714" s="197">
        <v>4.0168189999999999</v>
      </c>
      <c r="S714" s="306">
        <v>172617</v>
      </c>
      <c r="T714" s="692"/>
      <c r="U714" s="197">
        <v>1E-3</v>
      </c>
      <c r="V714" s="197">
        <v>1.8E-3</v>
      </c>
      <c r="W714" s="692"/>
      <c r="X714" s="692"/>
      <c r="Y714" s="692"/>
      <c r="Z714" s="163" t="s">
        <v>870</v>
      </c>
    </row>
    <row r="715" spans="1:26">
      <c r="A715" s="245">
        <v>45022</v>
      </c>
      <c r="B715" s="254">
        <v>0.73125000000000007</v>
      </c>
      <c r="C715" s="262" t="s">
        <v>829</v>
      </c>
      <c r="D715" s="145">
        <v>20.156099999999999</v>
      </c>
      <c r="E715" s="145">
        <v>24.071200000000001</v>
      </c>
      <c r="F715" s="145">
        <v>22.028760000000002</v>
      </c>
      <c r="G715" s="145">
        <v>23.551920000000003</v>
      </c>
      <c r="H715" s="691">
        <v>24.431999999999999</v>
      </c>
      <c r="I715" s="691">
        <v>23.425999999999998</v>
      </c>
      <c r="J715" s="692"/>
      <c r="K715" s="692"/>
      <c r="L715" s="692"/>
      <c r="M715" s="692"/>
      <c r="N715" s="692"/>
      <c r="O715" s="229" t="s">
        <v>82</v>
      </c>
      <c r="P715" s="692"/>
      <c r="Q715" s="692"/>
      <c r="R715" s="692"/>
      <c r="S715" s="306">
        <v>173348</v>
      </c>
      <c r="T715" s="692"/>
      <c r="U715" s="692"/>
      <c r="V715" s="692"/>
      <c r="W715" s="229">
        <v>811.9</v>
      </c>
      <c r="X715" s="229">
        <v>596.70000000000005</v>
      </c>
      <c r="Y715" s="692"/>
      <c r="Z715" s="164"/>
    </row>
    <row r="717" spans="1:26">
      <c r="A717" s="245">
        <v>45023</v>
      </c>
      <c r="B717" s="254">
        <v>0.41319444444444442</v>
      </c>
      <c r="C717" s="262" t="s">
        <v>25</v>
      </c>
      <c r="D717" s="145">
        <v>20.156099999999999</v>
      </c>
      <c r="E717" s="145">
        <v>24.071200000000001</v>
      </c>
      <c r="F717" s="145">
        <v>22.028760000000002</v>
      </c>
      <c r="G717" s="145">
        <v>23.551920000000003</v>
      </c>
      <c r="H717" s="691">
        <v>24.431999999999999</v>
      </c>
      <c r="I717" s="691">
        <v>23.425999999999998</v>
      </c>
      <c r="J717" s="692"/>
      <c r="K717" s="692"/>
      <c r="L717" s="692"/>
      <c r="M717" s="692"/>
      <c r="N717" s="692"/>
      <c r="O717" s="229" t="s">
        <v>68</v>
      </c>
      <c r="P717" s="692"/>
      <c r="Q717" s="197">
        <v>20</v>
      </c>
      <c r="R717" s="197">
        <v>4.016826</v>
      </c>
      <c r="S717" s="306">
        <v>95551</v>
      </c>
      <c r="T717" s="692"/>
      <c r="U717" s="197">
        <v>4.1000000000000003E-3</v>
      </c>
      <c r="V717" s="197">
        <v>8.0000000000000004E-4</v>
      </c>
      <c r="W717" s="692"/>
      <c r="X717" s="692"/>
      <c r="Y717" s="692"/>
      <c r="Z717" s="163" t="s">
        <v>870</v>
      </c>
    </row>
    <row r="718" spans="1:26">
      <c r="A718" s="245">
        <v>45023</v>
      </c>
      <c r="B718" s="254">
        <v>0.39930555555555558</v>
      </c>
      <c r="C718" s="262" t="s">
        <v>829</v>
      </c>
      <c r="D718" s="145">
        <v>20.156099999999999</v>
      </c>
      <c r="E718" s="145">
        <v>24.071200000000001</v>
      </c>
      <c r="F718" s="145">
        <v>22.028760000000002</v>
      </c>
      <c r="G718" s="145">
        <v>23.551920000000003</v>
      </c>
      <c r="H718" s="691">
        <v>24.431999999999999</v>
      </c>
      <c r="I718" s="691">
        <v>23.425999999999998</v>
      </c>
      <c r="J718" s="692"/>
      <c r="K718" s="692"/>
      <c r="L718" s="692"/>
      <c r="M718" s="692"/>
      <c r="N718" s="692"/>
      <c r="O718" s="229" t="s">
        <v>54</v>
      </c>
      <c r="P718" s="692"/>
      <c r="Q718" s="692"/>
      <c r="R718" s="692"/>
      <c r="S718" s="306">
        <v>95302</v>
      </c>
      <c r="T718" s="692"/>
      <c r="U718" s="692"/>
      <c r="V718" s="692"/>
      <c r="W718" s="229">
        <v>810.91099999999994</v>
      </c>
      <c r="X718" s="229">
        <v>599.60799999999995</v>
      </c>
      <c r="Y718" s="692"/>
      <c r="Z718" s="164"/>
    </row>
    <row r="719" spans="1:26">
      <c r="A719" s="245">
        <v>45023</v>
      </c>
      <c r="B719" s="692"/>
      <c r="C719" s="700" t="s">
        <v>27</v>
      </c>
      <c r="D719" s="145">
        <v>20.156099999999999</v>
      </c>
      <c r="E719" s="145">
        <v>24.071200000000001</v>
      </c>
      <c r="F719" s="145">
        <v>22.028760000000002</v>
      </c>
      <c r="G719" s="145">
        <v>23.551920000000003</v>
      </c>
      <c r="H719" s="693">
        <v>24.152999999999999</v>
      </c>
      <c r="I719" s="691">
        <v>23.754999999999999</v>
      </c>
      <c r="J719" s="692"/>
      <c r="K719" s="692"/>
      <c r="L719" s="692"/>
      <c r="M719" s="692"/>
      <c r="N719" s="692"/>
      <c r="O719" s="692"/>
      <c r="P719" s="692"/>
      <c r="Q719" s="197">
        <v>18</v>
      </c>
      <c r="R719" s="197">
        <v>4.0273289999999999</v>
      </c>
      <c r="T719" s="692"/>
      <c r="U719" s="692"/>
      <c r="V719" s="692"/>
      <c r="W719" s="692"/>
      <c r="X719" s="692"/>
      <c r="Y719" s="692"/>
      <c r="Z719" s="163" t="s">
        <v>871</v>
      </c>
    </row>
    <row r="720" spans="1:26">
      <c r="A720" s="245">
        <v>45023</v>
      </c>
      <c r="B720" s="692"/>
      <c r="C720" s="700" t="s">
        <v>27</v>
      </c>
      <c r="D720" s="145">
        <v>20.156099999999999</v>
      </c>
      <c r="E720" s="145">
        <v>24.071200000000001</v>
      </c>
      <c r="F720" s="145">
        <v>22.028760000000002</v>
      </c>
      <c r="G720" s="145">
        <v>23.551920000000003</v>
      </c>
      <c r="H720" s="693">
        <v>24.155999999999999</v>
      </c>
      <c r="I720" s="691">
        <v>23.757000000000001</v>
      </c>
      <c r="J720" s="692"/>
      <c r="K720" s="692"/>
      <c r="L720" s="692"/>
      <c r="M720" s="692"/>
      <c r="N720" s="692"/>
      <c r="O720" s="692"/>
      <c r="P720" s="692"/>
      <c r="Q720" s="197">
        <v>16</v>
      </c>
      <c r="R720" s="197">
        <v>4.0273240000000001</v>
      </c>
      <c r="T720" s="692"/>
      <c r="U720" s="692"/>
      <c r="V720" s="692"/>
      <c r="W720" s="692"/>
      <c r="X720" s="692"/>
      <c r="Y720" s="692"/>
      <c r="Z720" s="163" t="s">
        <v>872</v>
      </c>
    </row>
    <row r="721" spans="1:26">
      <c r="A721" s="245">
        <v>45023</v>
      </c>
      <c r="B721" s="254">
        <v>0.4458333333333333</v>
      </c>
      <c r="C721" s="700" t="s">
        <v>850</v>
      </c>
      <c r="D721" s="726">
        <f>D720</f>
        <v>20.156099999999999</v>
      </c>
      <c r="E721" s="726">
        <f>E720</f>
        <v>24.071200000000001</v>
      </c>
      <c r="F721" s="726">
        <f>F720</f>
        <v>22.028760000000002</v>
      </c>
      <c r="G721" s="726">
        <f>G720</f>
        <v>23.551920000000003</v>
      </c>
      <c r="H721" s="726">
        <v>24.431999999999999</v>
      </c>
      <c r="I721" s="726">
        <v>23.425999999999998</v>
      </c>
      <c r="J721" s="229">
        <v>101.51</v>
      </c>
      <c r="K721" s="229">
        <v>125.714</v>
      </c>
      <c r="L721" s="229">
        <v>1E-3</v>
      </c>
      <c r="M721" s="229">
        <v>9.9699999999999997E-2</v>
      </c>
      <c r="N721" s="229">
        <v>8.72E-2</v>
      </c>
      <c r="O721" s="229" t="s">
        <v>626</v>
      </c>
      <c r="P721" s="692"/>
      <c r="Q721" s="692"/>
      <c r="R721" s="692"/>
      <c r="S721" s="306">
        <v>104030</v>
      </c>
      <c r="T721" s="692"/>
      <c r="U721" s="197">
        <v>2.7000000000000001E-3</v>
      </c>
      <c r="V721" s="197">
        <v>-3.3999999999999998E-3</v>
      </c>
      <c r="W721" s="692"/>
      <c r="X721" s="692"/>
      <c r="Y721" s="692"/>
      <c r="Z721" s="163" t="s">
        <v>873</v>
      </c>
    </row>
    <row r="722" spans="1:26">
      <c r="A722" s="245">
        <v>45023</v>
      </c>
      <c r="B722" s="254">
        <v>0.44444444444444442</v>
      </c>
      <c r="C722" s="700" t="s">
        <v>837</v>
      </c>
      <c r="D722" s="740"/>
      <c r="E722" s="740"/>
      <c r="F722" s="740"/>
      <c r="G722" s="740"/>
      <c r="H722" s="741"/>
      <c r="I722" s="741"/>
      <c r="J722" s="229">
        <v>101.51</v>
      </c>
      <c r="K722" s="229">
        <v>125.714</v>
      </c>
      <c r="L722" s="229">
        <v>1E-3</v>
      </c>
      <c r="M722" s="229">
        <v>0.1089</v>
      </c>
      <c r="N722" s="229">
        <v>8.6800000000000002E-2</v>
      </c>
      <c r="O722" s="692"/>
      <c r="P722" s="692"/>
      <c r="Q722" s="197">
        <v>23</v>
      </c>
      <c r="R722" s="197">
        <v>3.468432</v>
      </c>
      <c r="S722" s="306">
        <v>110137</v>
      </c>
      <c r="T722" s="692"/>
      <c r="U722" s="197">
        <v>1.0699999999999999E-2</v>
      </c>
      <c r="V722" s="197">
        <v>1.8E-3</v>
      </c>
      <c r="W722" s="692"/>
      <c r="X722" s="692"/>
      <c r="Y722" s="692"/>
      <c r="Z722" s="163" t="s">
        <v>874</v>
      </c>
    </row>
    <row r="723" spans="1:26">
      <c r="A723" s="245">
        <v>45023</v>
      </c>
      <c r="B723" s="254">
        <v>0.47361111111111115</v>
      </c>
      <c r="C723" s="700" t="s">
        <v>32</v>
      </c>
      <c r="D723" s="740"/>
      <c r="E723" s="740"/>
      <c r="F723" s="740"/>
      <c r="G723" s="740"/>
      <c r="H723" s="742"/>
      <c r="I723" s="742"/>
      <c r="J723" s="229">
        <v>88.373999999999995</v>
      </c>
      <c r="K723" s="229">
        <v>109.27500000000001</v>
      </c>
      <c r="L723" s="229">
        <v>2E-3</v>
      </c>
      <c r="M723" s="229">
        <v>9.9199999999999997E-2</v>
      </c>
      <c r="N723" s="229">
        <v>8.6699999999999999E-2</v>
      </c>
      <c r="O723" s="231">
        <v>1128</v>
      </c>
      <c r="P723" s="692"/>
      <c r="Q723" s="692"/>
      <c r="R723" s="692"/>
      <c r="S723" s="306">
        <v>112047</v>
      </c>
      <c r="T723" s="692"/>
      <c r="U723" s="692"/>
      <c r="V723" s="692"/>
      <c r="W723" s="229">
        <v>810.86</v>
      </c>
      <c r="X723" s="229">
        <v>599.79999999999995</v>
      </c>
      <c r="Y723" s="692"/>
    </row>
    <row r="724" spans="1:26">
      <c r="A724" s="245">
        <v>45023</v>
      </c>
      <c r="B724" s="254">
        <v>0.47986111111111113</v>
      </c>
      <c r="C724" s="700" t="s">
        <v>33</v>
      </c>
      <c r="D724" s="740"/>
      <c r="E724" s="740"/>
      <c r="F724" s="740"/>
      <c r="G724" s="740"/>
      <c r="H724" s="693">
        <v>24.155999999999999</v>
      </c>
      <c r="I724" s="691">
        <v>23.757000000000001</v>
      </c>
      <c r="J724" s="229">
        <v>66.686999999999998</v>
      </c>
      <c r="K724" s="229">
        <v>102.4</v>
      </c>
      <c r="L724" s="229">
        <v>0</v>
      </c>
      <c r="M724" s="229">
        <v>9.9199999999999997E-2</v>
      </c>
      <c r="N724" s="229">
        <v>8.6800000000000002E-2</v>
      </c>
      <c r="O724" s="692"/>
      <c r="P724" s="692"/>
      <c r="Q724" s="197">
        <v>7</v>
      </c>
      <c r="R724" s="197">
        <v>3.4557069999999999</v>
      </c>
      <c r="T724" s="692"/>
      <c r="U724" s="692"/>
      <c r="V724" s="692"/>
      <c r="W724" s="692"/>
      <c r="X724" s="692"/>
      <c r="Y724" s="692"/>
    </row>
    <row r="726" spans="1:26">
      <c r="A726" s="245">
        <v>45024</v>
      </c>
      <c r="B726" s="254">
        <v>0.49374999999999997</v>
      </c>
      <c r="C726" s="262" t="s">
        <v>25</v>
      </c>
      <c r="D726" s="145">
        <v>20.156099999999999</v>
      </c>
      <c r="E726" s="145">
        <v>24.071200000000001</v>
      </c>
      <c r="F726" s="145">
        <v>22.028760000000002</v>
      </c>
      <c r="G726" s="145">
        <v>23.551920000000003</v>
      </c>
      <c r="H726" s="691">
        <v>24.431999999999999</v>
      </c>
      <c r="I726" s="691">
        <v>23.425999999999998</v>
      </c>
      <c r="J726" s="692"/>
      <c r="K726" s="692"/>
      <c r="L726" s="692"/>
      <c r="M726" s="692"/>
      <c r="N726" s="692"/>
      <c r="O726" s="229" t="s">
        <v>65</v>
      </c>
      <c r="P726" s="692"/>
      <c r="Q726" s="197">
        <v>15</v>
      </c>
      <c r="R726" s="197">
        <v>4.0168429999999997</v>
      </c>
      <c r="S726" s="306">
        <v>115001</v>
      </c>
      <c r="T726" s="692"/>
      <c r="U726" s="197">
        <v>3.3999999999999998E-3</v>
      </c>
      <c r="V726" s="197">
        <v>1.5E-3</v>
      </c>
      <c r="W726" s="310"/>
      <c r="X726" s="692"/>
      <c r="Y726" s="692"/>
      <c r="Z726" s="163" t="s">
        <v>875</v>
      </c>
    </row>
    <row r="727" spans="1:26">
      <c r="A727" s="245">
        <v>45024</v>
      </c>
      <c r="B727" s="254">
        <v>0.49861111111111112</v>
      </c>
      <c r="C727" s="262" t="s">
        <v>829</v>
      </c>
      <c r="D727" s="145">
        <v>20.156099999999999</v>
      </c>
      <c r="E727" s="145">
        <v>24.071200000000001</v>
      </c>
      <c r="F727" s="145">
        <v>22.028760000000002</v>
      </c>
      <c r="G727" s="145">
        <v>23.551920000000003</v>
      </c>
      <c r="H727" s="691">
        <v>24.431999999999999</v>
      </c>
      <c r="I727" s="691">
        <v>23.425999999999998</v>
      </c>
      <c r="J727" s="692"/>
      <c r="K727" s="692"/>
      <c r="L727" s="692"/>
      <c r="M727" s="692"/>
      <c r="N727" s="692"/>
      <c r="O727" s="229" t="s">
        <v>47</v>
      </c>
      <c r="P727" s="692"/>
      <c r="Q727" s="692"/>
      <c r="R727" s="692"/>
      <c r="S727" s="306">
        <v>115650</v>
      </c>
      <c r="T727" s="692"/>
      <c r="U727" s="692"/>
      <c r="V727" s="692"/>
      <c r="W727" s="229">
        <v>811.60500000000002</v>
      </c>
      <c r="X727" s="229">
        <v>598.72</v>
      </c>
      <c r="Y727" s="692"/>
      <c r="Z727" s="164"/>
    </row>
    <row r="728" spans="1:26">
      <c r="A728" s="245">
        <v>45024</v>
      </c>
      <c r="B728" s="254">
        <v>0.50416666666666665</v>
      </c>
      <c r="C728" s="700" t="s">
        <v>27</v>
      </c>
      <c r="D728" s="145">
        <v>20.156099999999999</v>
      </c>
      <c r="E728" s="145">
        <v>24.071200000000001</v>
      </c>
      <c r="F728" s="145">
        <v>22.028760000000002</v>
      </c>
      <c r="G728" s="145">
        <v>23.551920000000003</v>
      </c>
      <c r="H728" s="693">
        <v>24.152999999999999</v>
      </c>
      <c r="I728" s="691">
        <v>23.754999999999999</v>
      </c>
      <c r="J728" s="692"/>
      <c r="K728" s="692"/>
      <c r="L728" s="692"/>
      <c r="M728" s="692"/>
      <c r="N728" s="692"/>
      <c r="O728" s="692"/>
      <c r="P728" s="692"/>
      <c r="Q728" s="197">
        <v>15</v>
      </c>
      <c r="R728" s="197">
        <v>4.027361</v>
      </c>
      <c r="S728" s="692"/>
      <c r="T728" s="692"/>
      <c r="U728" s="692"/>
      <c r="V728" s="692"/>
      <c r="W728" s="310"/>
      <c r="X728" s="692"/>
      <c r="Y728" s="692"/>
    </row>
    <row r="729" spans="1:26">
      <c r="A729" s="245">
        <v>45024</v>
      </c>
      <c r="B729" s="254">
        <v>0.5229166666666667</v>
      </c>
      <c r="C729" s="700" t="s">
        <v>850</v>
      </c>
      <c r="D729" s="726">
        <f>D728</f>
        <v>20.156099999999999</v>
      </c>
      <c r="E729" s="743">
        <v>24.071200000000001</v>
      </c>
      <c r="F729" s="743">
        <v>22.028760000000002</v>
      </c>
      <c r="G729" s="743">
        <v>23.551920000000003</v>
      </c>
      <c r="H729" s="726">
        <v>24.431999999999999</v>
      </c>
      <c r="I729" s="726">
        <v>23.425999999999998</v>
      </c>
      <c r="J729" s="229">
        <v>101.51</v>
      </c>
      <c r="K729" s="229">
        <v>125.715</v>
      </c>
      <c r="L729" s="229">
        <v>2E-3</v>
      </c>
      <c r="M729" s="229">
        <v>9.9400000000000002E-2</v>
      </c>
      <c r="N729" s="229">
        <v>8.6400000000000005E-2</v>
      </c>
      <c r="O729" s="229" t="s">
        <v>70</v>
      </c>
      <c r="P729" s="692"/>
      <c r="Q729" s="692"/>
      <c r="R729" s="692"/>
      <c r="S729" s="306">
        <v>121337</v>
      </c>
      <c r="T729" s="692"/>
      <c r="U729" s="197">
        <v>2.7000000000000001E-3</v>
      </c>
      <c r="V729" s="197">
        <v>-3.7000000000000002E-3</v>
      </c>
      <c r="W729" s="692"/>
      <c r="X729" s="692"/>
      <c r="Y729" s="692"/>
      <c r="Z729" s="163" t="s">
        <v>876</v>
      </c>
    </row>
    <row r="730" spans="1:26">
      <c r="A730" s="245">
        <v>45024</v>
      </c>
      <c r="B730" s="254">
        <v>0.52708333333333335</v>
      </c>
      <c r="C730" s="700" t="s">
        <v>837</v>
      </c>
      <c r="D730" s="740"/>
      <c r="E730" s="744"/>
      <c r="F730" s="744"/>
      <c r="G730" s="744"/>
      <c r="H730" s="741"/>
      <c r="I730" s="741"/>
      <c r="J730" s="229">
        <v>101.51</v>
      </c>
      <c r="K730" s="229">
        <v>125.714</v>
      </c>
      <c r="L730" s="229">
        <v>1E-3</v>
      </c>
      <c r="M730" s="229">
        <v>0.1089</v>
      </c>
      <c r="N730" s="229">
        <v>8.6800000000000002E-2</v>
      </c>
      <c r="O730" s="692"/>
      <c r="P730" s="692"/>
      <c r="Q730" s="197">
        <v>23</v>
      </c>
      <c r="R730" s="197">
        <v>3.468413</v>
      </c>
      <c r="S730" s="306">
        <v>123449</v>
      </c>
      <c r="T730" s="692"/>
      <c r="U730"/>
      <c r="V730"/>
      <c r="W730" s="692"/>
      <c r="X730" s="692"/>
      <c r="Y730" s="692"/>
    </row>
    <row r="731" spans="1:26">
      <c r="A731" s="245">
        <v>45024</v>
      </c>
      <c r="B731" s="254">
        <v>0.53263888888888888</v>
      </c>
      <c r="C731" s="700" t="s">
        <v>32</v>
      </c>
      <c r="D731" s="740"/>
      <c r="E731" s="744"/>
      <c r="F731" s="744"/>
      <c r="G731" s="744"/>
      <c r="H731" s="742"/>
      <c r="I731" s="742"/>
      <c r="J731" s="312">
        <v>88.373999999999995</v>
      </c>
      <c r="K731" s="312">
        <v>109.27500000000001</v>
      </c>
      <c r="L731" s="312">
        <v>2E-3</v>
      </c>
      <c r="M731" s="312">
        <v>9.9199999999999997E-2</v>
      </c>
      <c r="N731" s="312">
        <v>8.6699999999999999E-2</v>
      </c>
      <c r="O731" s="231">
        <v>1128</v>
      </c>
      <c r="P731" s="692"/>
      <c r="Q731" s="692"/>
      <c r="R731" s="692"/>
      <c r="S731" s="306">
        <v>124633</v>
      </c>
      <c r="T731" s="692"/>
      <c r="U731" s="692"/>
      <c r="V731" s="692"/>
      <c r="W731" s="229">
        <v>811.5</v>
      </c>
      <c r="X731" s="229">
        <v>599.76300000000003</v>
      </c>
      <c r="Y731" s="692"/>
      <c r="Z731" s="163" t="s">
        <v>877</v>
      </c>
    </row>
    <row r="732" spans="1:26">
      <c r="A732" s="245">
        <v>45024</v>
      </c>
      <c r="B732" s="254">
        <v>0.5395833333333333</v>
      </c>
      <c r="C732" s="700" t="s">
        <v>33</v>
      </c>
      <c r="D732" s="740"/>
      <c r="E732" s="745"/>
      <c r="F732" s="745"/>
      <c r="G732" s="745"/>
      <c r="H732" s="693">
        <v>24.155999999999999</v>
      </c>
      <c r="I732" s="691">
        <v>23.757000000000001</v>
      </c>
      <c r="J732" s="229">
        <v>66.688999999999993</v>
      </c>
      <c r="K732" s="229">
        <v>102.4</v>
      </c>
      <c r="L732" s="229">
        <v>0</v>
      </c>
      <c r="M732" s="229">
        <v>9.9500000000000005E-2</v>
      </c>
      <c r="N732" s="229">
        <v>8.6400000000000005E-2</v>
      </c>
      <c r="O732" s="692"/>
      <c r="P732" s="692"/>
      <c r="Q732" s="197">
        <v>12</v>
      </c>
      <c r="R732" s="197">
        <v>3.455711</v>
      </c>
      <c r="T732" s="692"/>
      <c r="U732" s="692"/>
      <c r="V732" s="692"/>
      <c r="W732" s="692"/>
      <c r="X732" s="692"/>
      <c r="Y732" s="692"/>
    </row>
    <row r="733" spans="1:26">
      <c r="A733" s="692"/>
      <c r="B733" s="692"/>
      <c r="C733" s="700"/>
      <c r="D733" s="692"/>
      <c r="E733" s="692"/>
      <c r="F733" s="692"/>
      <c r="G733" s="692"/>
      <c r="H733" s="691">
        <v>24.431999999999999</v>
      </c>
      <c r="I733" s="691">
        <v>23.425999999999998</v>
      </c>
      <c r="J733" s="692"/>
      <c r="K733" s="692"/>
      <c r="L733" s="692"/>
      <c r="M733" s="692"/>
      <c r="N733" s="692"/>
      <c r="O733" s="229" t="s">
        <v>478</v>
      </c>
      <c r="P733" s="692"/>
      <c r="Q733" s="692"/>
      <c r="R733" s="692"/>
      <c r="T733" s="692"/>
      <c r="U733" s="692"/>
      <c r="V733" s="692"/>
      <c r="W733" s="692"/>
      <c r="X733" s="692"/>
      <c r="Y733" s="692"/>
      <c r="Z733" s="163" t="s">
        <v>878</v>
      </c>
    </row>
    <row r="735" spans="1:26">
      <c r="A735" s="737" t="s">
        <v>879</v>
      </c>
      <c r="B735" s="738"/>
      <c r="C735" s="738"/>
      <c r="D735" s="738"/>
      <c r="E735" s="738"/>
      <c r="F735" s="738"/>
      <c r="G735" s="738"/>
      <c r="H735" s="738"/>
      <c r="I735" s="738"/>
      <c r="J735" s="738"/>
      <c r="K735" s="738"/>
      <c r="L735" s="738"/>
      <c r="M735" s="738"/>
      <c r="N735" s="738"/>
      <c r="O735" s="738"/>
      <c r="P735" s="738"/>
      <c r="Q735" s="738"/>
      <c r="R735" s="738"/>
      <c r="S735" s="738"/>
      <c r="T735" s="738"/>
      <c r="U735" s="738"/>
      <c r="V735" s="738"/>
      <c r="W735" s="738"/>
      <c r="X735" s="739"/>
      <c r="Y735" s="692"/>
    </row>
    <row r="736" spans="1:26">
      <c r="A736" s="245">
        <v>45026</v>
      </c>
      <c r="B736" s="254">
        <v>0.38194444444444442</v>
      </c>
      <c r="C736" s="700" t="s">
        <v>27</v>
      </c>
      <c r="D736" s="145">
        <v>20.227399999999999</v>
      </c>
      <c r="E736" s="145">
        <v>23.875599999999999</v>
      </c>
      <c r="F736" s="145">
        <v>21.752300000000002</v>
      </c>
      <c r="G736" s="145">
        <v>23.569900000000001</v>
      </c>
      <c r="H736" s="693">
        <v>24.152999999999999</v>
      </c>
      <c r="I736" s="691">
        <v>23.754999999999999</v>
      </c>
      <c r="J736" s="692"/>
      <c r="K736" s="692"/>
      <c r="L736" s="692"/>
      <c r="M736" s="692"/>
      <c r="N736" s="692"/>
      <c r="O736" s="692"/>
      <c r="P736" s="692"/>
      <c r="Q736" s="197">
        <v>13</v>
      </c>
      <c r="R736" s="197">
        <v>4.0316840000000003</v>
      </c>
      <c r="S736" s="692"/>
      <c r="T736" s="692"/>
      <c r="U736" s="692"/>
      <c r="V736" s="692"/>
      <c r="W736" s="310"/>
      <c r="X736" s="692"/>
      <c r="Y736" s="692"/>
    </row>
    <row r="737" spans="1:26">
      <c r="A737" s="245">
        <v>45026</v>
      </c>
      <c r="B737" s="254">
        <v>0.3833333333333333</v>
      </c>
      <c r="C737" s="700" t="s">
        <v>833</v>
      </c>
      <c r="D737" s="145">
        <v>20.227399999999999</v>
      </c>
      <c r="E737" s="145">
        <v>23.875599999999999</v>
      </c>
      <c r="F737" s="145">
        <v>21.752300000000002</v>
      </c>
      <c r="G737" s="145">
        <v>23.569900000000001</v>
      </c>
      <c r="H737" s="691">
        <v>24.431999999999999</v>
      </c>
      <c r="I737" s="691">
        <v>23.425999999999998</v>
      </c>
      <c r="J737" s="692"/>
      <c r="K737" s="692"/>
      <c r="L737" s="692"/>
      <c r="M737" s="692"/>
      <c r="N737" s="692"/>
      <c r="O737" s="692"/>
      <c r="P737" s="692"/>
      <c r="Q737" s="197">
        <v>10</v>
      </c>
      <c r="R737" s="197">
        <v>4.0211610000000002</v>
      </c>
      <c r="S737" s="692"/>
      <c r="T737" s="692"/>
      <c r="U737" s="692"/>
      <c r="V737" s="692"/>
      <c r="W737" s="310"/>
      <c r="X737" s="692"/>
      <c r="Y737" s="692"/>
    </row>
    <row r="738" spans="1:26">
      <c r="A738" s="245">
        <v>45026</v>
      </c>
      <c r="B738" s="254">
        <v>0.3840277777777778</v>
      </c>
      <c r="C738" s="262" t="s">
        <v>826</v>
      </c>
      <c r="D738" s="145">
        <v>20.227399999999999</v>
      </c>
      <c r="E738" s="145">
        <v>23.875599999999999</v>
      </c>
      <c r="F738" s="145">
        <v>21.752300000000002</v>
      </c>
      <c r="G738" s="145">
        <v>23.569900000000001</v>
      </c>
      <c r="H738" s="691">
        <v>24.431999999999999</v>
      </c>
      <c r="I738" s="691">
        <v>23.425999999999998</v>
      </c>
      <c r="J738" s="692"/>
      <c r="K738" s="692"/>
      <c r="L738" s="692"/>
      <c r="M738" s="692"/>
      <c r="N738" s="692"/>
      <c r="O738" s="229" t="s">
        <v>70</v>
      </c>
      <c r="P738" s="692"/>
      <c r="Q738" s="692"/>
      <c r="R738" s="692"/>
      <c r="S738" s="306">
        <v>91233</v>
      </c>
      <c r="T738" s="692"/>
      <c r="U738" s="197">
        <v>1.6999999999999999E-3</v>
      </c>
      <c r="V738" s="197">
        <v>1.1000000000000001E-3</v>
      </c>
      <c r="W738" s="310"/>
      <c r="X738" s="692"/>
      <c r="Y738" s="692"/>
    </row>
    <row r="739" spans="1:26">
      <c r="A739" s="245">
        <v>45026</v>
      </c>
      <c r="B739" s="254">
        <v>0.38472222222222219</v>
      </c>
      <c r="C739" s="262" t="s">
        <v>829</v>
      </c>
      <c r="D739" s="145">
        <v>20.227399999999999</v>
      </c>
      <c r="E739" s="145">
        <v>23.875599999999999</v>
      </c>
      <c r="F739" s="145">
        <v>21.752300000000002</v>
      </c>
      <c r="G739" s="145">
        <v>23.569900000000001</v>
      </c>
      <c r="H739" s="691">
        <v>24.431999999999999</v>
      </c>
      <c r="I739" s="691">
        <v>23.425999999999998</v>
      </c>
      <c r="J739" s="692"/>
      <c r="K739" s="692"/>
      <c r="L739" s="692"/>
      <c r="M739" s="692"/>
      <c r="N739" s="692"/>
      <c r="O739" s="229" t="s">
        <v>47</v>
      </c>
      <c r="P739" s="692"/>
      <c r="Q739" s="692"/>
      <c r="R739" s="692"/>
      <c r="S739" s="306">
        <v>91356</v>
      </c>
      <c r="T739" s="692"/>
      <c r="U739" s="692"/>
      <c r="V739" s="692"/>
      <c r="W739" s="229">
        <v>809.7</v>
      </c>
      <c r="X739" s="229">
        <v>598.70000000000005</v>
      </c>
      <c r="Y739" s="692"/>
    </row>
    <row r="740" spans="1:26">
      <c r="A740" s="245">
        <v>45026</v>
      </c>
      <c r="B740" s="254">
        <v>0.3923611111111111</v>
      </c>
      <c r="C740" s="262" t="s">
        <v>829</v>
      </c>
      <c r="D740" s="145">
        <v>20.227399999999999</v>
      </c>
      <c r="E740" s="145">
        <v>23.875599999999999</v>
      </c>
      <c r="F740" s="145">
        <v>21.752300000000002</v>
      </c>
      <c r="G740" s="145">
        <v>23.569900000000001</v>
      </c>
      <c r="H740" s="691">
        <v>24.431999999999999</v>
      </c>
      <c r="I740" s="691">
        <v>23.425999999999998</v>
      </c>
      <c r="J740" s="692"/>
      <c r="K740" s="692"/>
      <c r="L740" s="692"/>
      <c r="M740" s="692"/>
      <c r="N740" s="692"/>
      <c r="O740" s="229" t="s">
        <v>47</v>
      </c>
      <c r="P740" s="692"/>
      <c r="Q740" s="692"/>
      <c r="R740" s="692"/>
      <c r="S740" s="306">
        <v>92529</v>
      </c>
      <c r="T740" s="692"/>
      <c r="U740" s="692"/>
      <c r="V740" s="692"/>
      <c r="W740" s="229">
        <v>810.7</v>
      </c>
      <c r="X740" s="229">
        <v>597.79999999999995</v>
      </c>
      <c r="Y740" s="692"/>
    </row>
    <row r="741" spans="1:26">
      <c r="A741" s="245">
        <v>45026</v>
      </c>
      <c r="B741" s="254">
        <v>0.41666666666666669</v>
      </c>
      <c r="C741" s="700" t="s">
        <v>31</v>
      </c>
      <c r="D741" s="145">
        <v>20.227399999999999</v>
      </c>
      <c r="E741" s="145">
        <v>23.875599999999999</v>
      </c>
      <c r="F741" s="145">
        <v>21.752300000000002</v>
      </c>
      <c r="G741" s="145">
        <v>23.569900000000001</v>
      </c>
      <c r="H741" s="726">
        <v>24.431999999999999</v>
      </c>
      <c r="I741" s="726">
        <v>23.425999999999998</v>
      </c>
      <c r="J741" s="229">
        <v>101.512</v>
      </c>
      <c r="K741" s="229">
        <v>125.718</v>
      </c>
      <c r="L741" s="229">
        <v>2E-3</v>
      </c>
      <c r="M741" s="229">
        <v>0.128</v>
      </c>
      <c r="N741" s="229">
        <v>8.2199999999999995E-2</v>
      </c>
      <c r="O741" s="229" t="s">
        <v>70</v>
      </c>
      <c r="P741" s="692"/>
      <c r="Q741" s="197">
        <v>18</v>
      </c>
      <c r="R741" s="197">
        <v>3.4712269999999998</v>
      </c>
      <c r="S741" s="306">
        <v>95833</v>
      </c>
      <c r="T741" s="692"/>
      <c r="U741" s="197">
        <v>-4.0000000000000002E-4</v>
      </c>
      <c r="V741" s="197">
        <v>1.4E-3</v>
      </c>
      <c r="W741" s="692"/>
      <c r="X741" s="692"/>
      <c r="Y741" s="692"/>
    </row>
    <row r="742" spans="1:26">
      <c r="A742" s="245">
        <v>45026</v>
      </c>
      <c r="B742" s="254">
        <v>0.42569444444444443</v>
      </c>
      <c r="C742" s="700" t="s">
        <v>32</v>
      </c>
      <c r="D742" s="145">
        <v>20.227399999999999</v>
      </c>
      <c r="E742" s="145">
        <v>23.875599999999999</v>
      </c>
      <c r="F742" s="145">
        <v>21.752300000000002</v>
      </c>
      <c r="G742" s="145">
        <v>23.569900000000001</v>
      </c>
      <c r="H742" s="727"/>
      <c r="I742" s="727"/>
      <c r="J742" s="229">
        <v>88.546999999999997</v>
      </c>
      <c r="K742" s="229">
        <v>108.42100000000001</v>
      </c>
      <c r="L742" s="229">
        <v>-1E-3</v>
      </c>
      <c r="M742" s="229">
        <v>0.12820000000000001</v>
      </c>
      <c r="N742" s="229">
        <v>8.2199999999999995E-2</v>
      </c>
      <c r="O742" s="231">
        <v>1128</v>
      </c>
      <c r="P742" s="692"/>
      <c r="Q742" s="692"/>
      <c r="R742" s="692"/>
      <c r="S742" s="306">
        <v>101304</v>
      </c>
      <c r="T742" s="692"/>
      <c r="U742" s="692"/>
      <c r="V742" s="692"/>
      <c r="W742" s="229">
        <v>810.3</v>
      </c>
      <c r="X742" s="229">
        <v>597.62</v>
      </c>
      <c r="Y742" s="692"/>
    </row>
    <row r="743" spans="1:26" ht="30.6">
      <c r="A743" s="245">
        <v>45026</v>
      </c>
      <c r="B743" s="254">
        <v>0.43124999999999997</v>
      </c>
      <c r="C743" s="700" t="s">
        <v>880</v>
      </c>
      <c r="D743" s="145">
        <v>20.227399999999999</v>
      </c>
      <c r="E743" s="145">
        <v>23.875599999999999</v>
      </c>
      <c r="F743" s="145">
        <v>21.752300000000002</v>
      </c>
      <c r="G743" s="145">
        <v>23.569900000000001</v>
      </c>
      <c r="H743" s="693">
        <v>24.152999999999999</v>
      </c>
      <c r="I743" s="691">
        <v>23.74</v>
      </c>
      <c r="J743" s="229">
        <v>66.688000000000002</v>
      </c>
      <c r="K743" s="229">
        <v>102.4</v>
      </c>
      <c r="L743" s="229">
        <v>-1E-3</v>
      </c>
      <c r="M743" s="229">
        <v>0.1283</v>
      </c>
      <c r="N743" s="229">
        <v>8.2199999999999995E-2</v>
      </c>
      <c r="O743" s="692"/>
      <c r="P743" s="692"/>
      <c r="Q743" s="197">
        <v>10</v>
      </c>
      <c r="R743" s="197">
        <v>3.4585370000000002</v>
      </c>
      <c r="T743" s="692"/>
      <c r="U743" s="692"/>
      <c r="V743" s="692"/>
      <c r="W743" s="692"/>
      <c r="X743" s="692"/>
      <c r="Y743" s="692"/>
    </row>
    <row r="745" spans="1:26">
      <c r="A745" s="245">
        <v>45026</v>
      </c>
      <c r="B745" s="254">
        <v>0.44444444444444442</v>
      </c>
      <c r="C745" s="262" t="s">
        <v>829</v>
      </c>
      <c r="D745" s="145">
        <v>20.227399999999999</v>
      </c>
      <c r="E745" s="145">
        <v>23.875599999999999</v>
      </c>
      <c r="F745" s="145">
        <v>21.752300000000002</v>
      </c>
      <c r="G745" s="145">
        <v>23.569900000000001</v>
      </c>
      <c r="H745" s="693">
        <v>24.152999999999999</v>
      </c>
      <c r="I745" s="691">
        <v>23.74</v>
      </c>
      <c r="J745" s="692"/>
      <c r="K745" s="692"/>
      <c r="L745" s="692"/>
      <c r="M745" s="692"/>
      <c r="N745" s="692"/>
      <c r="O745" s="229" t="s">
        <v>47</v>
      </c>
      <c r="P745" s="692"/>
      <c r="Q745" s="692"/>
      <c r="R745" s="692"/>
      <c r="S745" s="306">
        <v>103920</v>
      </c>
      <c r="T745" s="692"/>
      <c r="U745" s="692"/>
      <c r="V745" s="692"/>
      <c r="W745" s="229">
        <v>810.69399999999996</v>
      </c>
      <c r="X745" s="229">
        <v>597.56399999999996</v>
      </c>
      <c r="Y745" s="692"/>
      <c r="Z745" s="163" t="s">
        <v>881</v>
      </c>
    </row>
    <row r="746" spans="1:26">
      <c r="A746" s="245">
        <v>45026</v>
      </c>
      <c r="B746" s="254">
        <v>0.4465277777777778</v>
      </c>
      <c r="C746" s="262" t="s">
        <v>826</v>
      </c>
      <c r="D746" s="692"/>
      <c r="E746" s="692"/>
      <c r="F746" s="692"/>
      <c r="G746" s="692"/>
      <c r="H746" s="692"/>
      <c r="I746" s="692"/>
      <c r="J746" s="692"/>
      <c r="K746" s="692"/>
      <c r="L746" s="692"/>
      <c r="M746" s="692"/>
      <c r="N746" s="692"/>
      <c r="O746" s="313" t="s">
        <v>70</v>
      </c>
      <c r="P746" s="692"/>
      <c r="Q746" s="692"/>
      <c r="R746" s="692"/>
      <c r="S746" s="307">
        <v>104249</v>
      </c>
      <c r="T746" s="692"/>
      <c r="U746" s="313">
        <v>1E-3</v>
      </c>
      <c r="V746" s="313">
        <v>2.5000000000000001E-3</v>
      </c>
      <c r="W746" s="692"/>
      <c r="X746" s="692"/>
      <c r="Y746" s="692"/>
    </row>
    <row r="747" spans="1:26" ht="71.45">
      <c r="A747" s="245">
        <v>45026</v>
      </c>
      <c r="B747" s="254">
        <v>0.44861111111111113</v>
      </c>
      <c r="C747" s="700" t="s">
        <v>882</v>
      </c>
      <c r="D747" s="692"/>
      <c r="E747" s="692"/>
      <c r="F747" s="692"/>
      <c r="G747" s="692"/>
      <c r="H747" s="692"/>
      <c r="I747" s="692"/>
      <c r="J747" s="692"/>
      <c r="K747" s="692"/>
      <c r="L747" s="692"/>
      <c r="M747" s="692"/>
      <c r="N747" s="692"/>
      <c r="O747" s="692"/>
      <c r="P747" s="692"/>
      <c r="Q747" s="692"/>
      <c r="R747" s="692"/>
      <c r="T747" s="692"/>
      <c r="U747" s="692"/>
      <c r="V747" s="692"/>
      <c r="W747" s="692"/>
      <c r="X747" s="692"/>
      <c r="Y747" s="692"/>
      <c r="Z747" s="700" t="s">
        <v>882</v>
      </c>
    </row>
    <row r="748" spans="1:26">
      <c r="A748" s="245">
        <v>45026</v>
      </c>
      <c r="B748" s="254">
        <v>0.59861111111111109</v>
      </c>
      <c r="C748" s="700" t="s">
        <v>27</v>
      </c>
      <c r="D748" s="728" t="s">
        <v>883</v>
      </c>
      <c r="E748" s="729"/>
      <c r="F748" s="729"/>
      <c r="G748" s="730"/>
      <c r="H748" s="693">
        <v>24.152999999999999</v>
      </c>
      <c r="I748" s="691">
        <v>23.754999999999999</v>
      </c>
      <c r="J748" s="692"/>
      <c r="K748" s="692"/>
      <c r="L748" s="692"/>
      <c r="M748" s="692"/>
      <c r="N748" s="692"/>
      <c r="O748" s="692"/>
      <c r="P748" s="692"/>
      <c r="Q748" s="197">
        <v>15</v>
      </c>
      <c r="R748" s="197">
        <v>4.0316669999999997</v>
      </c>
      <c r="S748" s="692"/>
      <c r="T748" s="692"/>
      <c r="U748" s="692"/>
      <c r="V748" s="692"/>
      <c r="W748" s="310"/>
      <c r="X748" s="692"/>
      <c r="Y748" s="692"/>
      <c r="Z748" s="163" t="s">
        <v>884</v>
      </c>
    </row>
    <row r="749" spans="1:26">
      <c r="A749" s="245">
        <v>45026</v>
      </c>
      <c r="B749" s="254">
        <v>0.6</v>
      </c>
      <c r="C749" s="700" t="s">
        <v>833</v>
      </c>
      <c r="D749" s="731"/>
      <c r="E749" s="732"/>
      <c r="F749" s="732"/>
      <c r="G749" s="733"/>
      <c r="H749" s="691">
        <v>24.431999999999999</v>
      </c>
      <c r="I749" s="691">
        <v>23.425999999999998</v>
      </c>
      <c r="J749" s="692"/>
      <c r="K749" s="692"/>
      <c r="L749" s="692"/>
      <c r="M749" s="692"/>
      <c r="N749" s="692"/>
      <c r="O749" s="692"/>
      <c r="P749" s="692"/>
      <c r="Q749" s="197">
        <v>18</v>
      </c>
      <c r="R749" s="197">
        <v>4.0211870000000003</v>
      </c>
      <c r="S749" s="692"/>
      <c r="T749" s="692"/>
      <c r="U749" s="692"/>
      <c r="V749" s="692"/>
      <c r="W749" s="310"/>
      <c r="X749" s="692"/>
      <c r="Y749" s="692"/>
    </row>
    <row r="750" spans="1:26">
      <c r="A750" s="245">
        <v>45026</v>
      </c>
      <c r="B750" s="254">
        <v>0.60138888888888886</v>
      </c>
      <c r="C750" s="262" t="s">
        <v>826</v>
      </c>
      <c r="D750" s="731"/>
      <c r="E750" s="732"/>
      <c r="F750" s="732"/>
      <c r="G750" s="733"/>
      <c r="H750" s="691">
        <v>24.431999999999999</v>
      </c>
      <c r="I750" s="691">
        <v>23.425999999999998</v>
      </c>
      <c r="J750" s="692"/>
      <c r="K750" s="692"/>
      <c r="L750" s="692"/>
      <c r="M750" s="692"/>
      <c r="N750" s="692"/>
      <c r="O750" s="229" t="s">
        <v>70</v>
      </c>
      <c r="P750" s="692"/>
      <c r="Q750" s="692"/>
      <c r="R750" s="692"/>
      <c r="S750" s="306">
        <v>142504</v>
      </c>
      <c r="T750" s="692"/>
      <c r="U750" s="197">
        <v>-5.5999999999999999E-3</v>
      </c>
      <c r="V750" s="197">
        <v>1.1000000000000001E-3</v>
      </c>
      <c r="W750" s="310"/>
      <c r="X750" s="692"/>
      <c r="Y750" s="692"/>
    </row>
    <row r="751" spans="1:26">
      <c r="A751" s="245">
        <v>45026</v>
      </c>
      <c r="B751" s="254">
        <v>0.60277777777777775</v>
      </c>
      <c r="C751" s="262" t="s">
        <v>829</v>
      </c>
      <c r="D751" s="731"/>
      <c r="E751" s="732"/>
      <c r="F751" s="732"/>
      <c r="G751" s="733"/>
      <c r="H751" s="691">
        <v>24.431999999999999</v>
      </c>
      <c r="I751" s="691">
        <v>23.425999999999998</v>
      </c>
      <c r="J751" s="692"/>
      <c r="K751" s="692"/>
      <c r="L751" s="692"/>
      <c r="M751" s="692"/>
      <c r="N751" s="692"/>
      <c r="O751" s="229" t="s">
        <v>47</v>
      </c>
      <c r="P751" s="692"/>
      <c r="Q751" s="692"/>
      <c r="R751" s="692"/>
      <c r="S751" s="306">
        <v>142710</v>
      </c>
      <c r="T751" s="692"/>
      <c r="U751" s="692"/>
      <c r="V751" s="692"/>
      <c r="W751" s="229">
        <v>808.8</v>
      </c>
      <c r="X751" s="229">
        <v>591.5</v>
      </c>
      <c r="Y751" s="692"/>
    </row>
    <row r="752" spans="1:26">
      <c r="A752" s="245">
        <v>45026</v>
      </c>
      <c r="B752" s="254">
        <v>0.61458333333333337</v>
      </c>
      <c r="C752" s="700" t="s">
        <v>31</v>
      </c>
      <c r="D752" s="731"/>
      <c r="E752" s="732"/>
      <c r="F752" s="732"/>
      <c r="G752" s="733"/>
      <c r="H752" s="726">
        <v>24.431999999999999</v>
      </c>
      <c r="I752" s="726">
        <v>23.425999999999998</v>
      </c>
      <c r="J752" s="229">
        <v>101.51300000000001</v>
      </c>
      <c r="K752" s="229">
        <v>125.721</v>
      </c>
      <c r="L752" s="229">
        <v>-3.0000000000000001E-3</v>
      </c>
      <c r="M752" s="229">
        <v>0.12790000000000001</v>
      </c>
      <c r="N752" s="229">
        <v>8.1900000000000001E-2</v>
      </c>
      <c r="O752" s="229" t="s">
        <v>70</v>
      </c>
      <c r="P752" s="692"/>
      <c r="Q752" s="197">
        <v>26</v>
      </c>
      <c r="R752" s="197">
        <v>3.4712339999999999</v>
      </c>
      <c r="S752" s="306">
        <v>144436</v>
      </c>
      <c r="T752" s="692"/>
      <c r="U752" s="197">
        <v>-2.2000000000000001E-3</v>
      </c>
      <c r="V752" s="197">
        <v>-5.9999999999999995E-4</v>
      </c>
      <c r="W752" s="692"/>
      <c r="X752" s="692"/>
      <c r="Y752" s="692"/>
    </row>
    <row r="753" spans="1:24">
      <c r="A753" s="245">
        <v>45026</v>
      </c>
      <c r="B753" s="254">
        <v>0.62083333333333335</v>
      </c>
      <c r="C753" s="700" t="s">
        <v>32</v>
      </c>
      <c r="D753" s="731"/>
      <c r="E753" s="732"/>
      <c r="F753" s="732"/>
      <c r="G753" s="733"/>
      <c r="H753" s="727"/>
      <c r="I753" s="727"/>
      <c r="J753" s="229">
        <v>88.617000000000004</v>
      </c>
      <c r="K753" s="229">
        <v>108.613</v>
      </c>
      <c r="L753" s="229">
        <v>-2E-3</v>
      </c>
      <c r="M753" s="229">
        <v>0.128</v>
      </c>
      <c r="N753" s="229">
        <v>8.1900000000000001E-2</v>
      </c>
      <c r="O753" s="231">
        <v>1128</v>
      </c>
      <c r="P753" s="692"/>
      <c r="Q753" s="692"/>
      <c r="R753" s="692"/>
      <c r="S753" s="306">
        <v>145410</v>
      </c>
      <c r="T753" s="692"/>
      <c r="U753" s="692"/>
      <c r="V753" s="692"/>
      <c r="W753" s="229">
        <v>808.8</v>
      </c>
      <c r="X753" s="229">
        <v>591.20000000000005</v>
      </c>
    </row>
    <row r="754" spans="1:24">
      <c r="A754" s="245">
        <v>45026</v>
      </c>
      <c r="B754" s="254">
        <v>0.62083333333333335</v>
      </c>
      <c r="C754" s="700" t="s">
        <v>33</v>
      </c>
      <c r="D754" s="734"/>
      <c r="E754" s="735"/>
      <c r="F754" s="735"/>
      <c r="G754" s="736"/>
      <c r="H754" s="693">
        <v>24.152999999999999</v>
      </c>
      <c r="I754" s="691">
        <v>23.754999999999999</v>
      </c>
      <c r="J754" s="229">
        <v>66.688999999999993</v>
      </c>
      <c r="K754" s="229">
        <v>102.399</v>
      </c>
      <c r="L754" s="229">
        <v>-3.0000000000000001E-3</v>
      </c>
      <c r="M754" s="229">
        <v>0.128</v>
      </c>
      <c r="N754" s="229">
        <v>8.1900000000000001E-2</v>
      </c>
      <c r="O754" s="692"/>
      <c r="P754" s="692"/>
      <c r="Q754" s="197">
        <v>5</v>
      </c>
      <c r="R754" s="197">
        <v>3.458523</v>
      </c>
      <c r="T754" s="692"/>
      <c r="U754" s="692"/>
      <c r="V754" s="692"/>
      <c r="W754" s="692"/>
      <c r="X754" s="692"/>
    </row>
  </sheetData>
  <autoFilter ref="A672:Z688" xr:uid="{00000000-0001-0000-0000-000000000000}">
    <filterColumn colId="0" showButton="0"/>
    <filterColumn colId="1" showButton="0"/>
    <filterColumn colId="2" showButton="0"/>
    <filterColumn colId="3" showButton="0"/>
    <filterColumn colId="4" showButton="0"/>
    <filterColumn colId="5" showButton="0"/>
    <filterColumn colId="6" showButton="0"/>
    <filterColumn colId="7" showButton="0"/>
    <filterColumn colId="8" showButton="0"/>
    <filterColumn colId="9" showButton="0"/>
    <filterColumn colId="10" showButton="0"/>
    <filterColumn colId="11" showButton="0"/>
    <filterColumn colId="12" showButton="0"/>
    <filterColumn colId="13" showButton="0"/>
    <filterColumn colId="14" showButton="0"/>
    <filterColumn colId="15" showButton="0"/>
    <filterColumn colId="16" showButton="0"/>
    <filterColumn colId="17" showButton="0"/>
    <filterColumn colId="18" showButton="0"/>
    <filterColumn colId="19" showButton="0"/>
    <filterColumn colId="20" showButton="0"/>
    <filterColumn colId="21" showButton="0"/>
    <filterColumn colId="22" showButton="0"/>
    <filterColumn colId="23" showButton="0"/>
  </autoFilter>
  <mergeCells count="139">
    <mergeCell ref="A692:X692"/>
    <mergeCell ref="D681:D690"/>
    <mergeCell ref="E681:E690"/>
    <mergeCell ref="F681:F690"/>
    <mergeCell ref="G681:G690"/>
    <mergeCell ref="H707:H709"/>
    <mergeCell ref="I707:I709"/>
    <mergeCell ref="D707:D713"/>
    <mergeCell ref="E707:E713"/>
    <mergeCell ref="F707:F713"/>
    <mergeCell ref="G707:G713"/>
    <mergeCell ref="D650:G670"/>
    <mergeCell ref="A672:Y672"/>
    <mergeCell ref="D673:G673"/>
    <mergeCell ref="H681:H688"/>
    <mergeCell ref="I681:I688"/>
    <mergeCell ref="A649:Y649"/>
    <mergeCell ref="H647:I647"/>
    <mergeCell ref="D646:E646"/>
    <mergeCell ref="F646:G646"/>
    <mergeCell ref="H646:I646"/>
    <mergeCell ref="D617:E617"/>
    <mergeCell ref="F617:G617"/>
    <mergeCell ref="H617:I617"/>
    <mergeCell ref="D641:G645"/>
    <mergeCell ref="D631:E631"/>
    <mergeCell ref="F631:G631"/>
    <mergeCell ref="H631:I631"/>
    <mergeCell ref="D632:G635"/>
    <mergeCell ref="D636:G640"/>
    <mergeCell ref="D602:G616"/>
    <mergeCell ref="A597:C597"/>
    <mergeCell ref="D598:G601"/>
    <mergeCell ref="A584:Y584"/>
    <mergeCell ref="J579:N579"/>
    <mergeCell ref="D585:I587"/>
    <mergeCell ref="D588:I590"/>
    <mergeCell ref="D592:G596"/>
    <mergeCell ref="D576:E576"/>
    <mergeCell ref="F576:G576"/>
    <mergeCell ref="H576:I576"/>
    <mergeCell ref="D591:I591"/>
    <mergeCell ref="D531:E531"/>
    <mergeCell ref="F531:G531"/>
    <mergeCell ref="H531:I531"/>
    <mergeCell ref="D495:E495"/>
    <mergeCell ref="F495:G495"/>
    <mergeCell ref="H495:I495"/>
    <mergeCell ref="D509:E509"/>
    <mergeCell ref="F509:G509"/>
    <mergeCell ref="H509:I509"/>
    <mergeCell ref="D505:E505"/>
    <mergeCell ref="F505:G505"/>
    <mergeCell ref="H505:I505"/>
    <mergeCell ref="D461:E461"/>
    <mergeCell ref="F461:G461"/>
    <mergeCell ref="H461:I461"/>
    <mergeCell ref="D472:E472"/>
    <mergeCell ref="F472:G472"/>
    <mergeCell ref="H472:I472"/>
    <mergeCell ref="H430:I430"/>
    <mergeCell ref="D449:E449"/>
    <mergeCell ref="D396:E396"/>
    <mergeCell ref="F396:G396"/>
    <mergeCell ref="D407:E407"/>
    <mergeCell ref="F407:G407"/>
    <mergeCell ref="H407:I407"/>
    <mergeCell ref="H396:I396"/>
    <mergeCell ref="F449:G449"/>
    <mergeCell ref="H449:I449"/>
    <mergeCell ref="D430:E430"/>
    <mergeCell ref="F430:G430"/>
    <mergeCell ref="AC302:AF302"/>
    <mergeCell ref="F248:G248"/>
    <mergeCell ref="H248:I248"/>
    <mergeCell ref="D231:E231"/>
    <mergeCell ref="F231:G231"/>
    <mergeCell ref="H231:I231"/>
    <mergeCell ref="D238:E238"/>
    <mergeCell ref="F238:G238"/>
    <mergeCell ref="H238:I238"/>
    <mergeCell ref="D266:E266"/>
    <mergeCell ref="F266:G266"/>
    <mergeCell ref="H266:I266"/>
    <mergeCell ref="D1:E1"/>
    <mergeCell ref="F1:G1"/>
    <mergeCell ref="H1:I1"/>
    <mergeCell ref="D211:E211"/>
    <mergeCell ref="F211:G211"/>
    <mergeCell ref="H211:I211"/>
    <mergeCell ref="D258:E258"/>
    <mergeCell ref="F258:G258"/>
    <mergeCell ref="H258:I258"/>
    <mergeCell ref="D221:E221"/>
    <mergeCell ref="F221:G221"/>
    <mergeCell ref="H221:I221"/>
    <mergeCell ref="D248:E248"/>
    <mergeCell ref="Z699:Z704"/>
    <mergeCell ref="C394:C395"/>
    <mergeCell ref="A274:X274"/>
    <mergeCell ref="D285:E285"/>
    <mergeCell ref="F285:G285"/>
    <mergeCell ref="H285:I285"/>
    <mergeCell ref="D301:E301"/>
    <mergeCell ref="F301:G301"/>
    <mergeCell ref="H301:I301"/>
    <mergeCell ref="D343:E343"/>
    <mergeCell ref="F343:G343"/>
    <mergeCell ref="H343:I343"/>
    <mergeCell ref="D372:E372"/>
    <mergeCell ref="F372:G372"/>
    <mergeCell ref="H372:I372"/>
    <mergeCell ref="D310:E310"/>
    <mergeCell ref="F310:G310"/>
    <mergeCell ref="H310:I310"/>
    <mergeCell ref="D334:E334"/>
    <mergeCell ref="F334:G334"/>
    <mergeCell ref="H334:I334"/>
    <mergeCell ref="D325:E325"/>
    <mergeCell ref="F325:G325"/>
    <mergeCell ref="H325:I325"/>
    <mergeCell ref="D721:D724"/>
    <mergeCell ref="E721:E724"/>
    <mergeCell ref="F721:F724"/>
    <mergeCell ref="G721:G724"/>
    <mergeCell ref="H721:H723"/>
    <mergeCell ref="I721:I723"/>
    <mergeCell ref="E729:E732"/>
    <mergeCell ref="F729:F732"/>
    <mergeCell ref="G729:G732"/>
    <mergeCell ref="H752:H753"/>
    <mergeCell ref="I752:I753"/>
    <mergeCell ref="D748:G754"/>
    <mergeCell ref="H741:H742"/>
    <mergeCell ref="I741:I742"/>
    <mergeCell ref="A735:X735"/>
    <mergeCell ref="D729:D732"/>
    <mergeCell ref="H729:H731"/>
    <mergeCell ref="I729:I731"/>
  </mergeCells>
  <phoneticPr fontId="1" type="noConversion"/>
  <pageMargins left="0" right="0" top="0.75" bottom="0.75" header="0.3" footer="0.3"/>
  <pageSetup orientation="landscape" r:id="rId1"/>
  <drawing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FD51C2-893E-4CEB-A9BA-27644DE76E98}">
  <sheetPr>
    <pageSetUpPr fitToPage="1"/>
  </sheetPr>
  <dimension ref="A1:AC90"/>
  <sheetViews>
    <sheetView zoomScale="110" zoomScaleNormal="110" workbookViewId="0">
      <pane ySplit="1" topLeftCell="A57" activePane="bottomLeft" state="frozen"/>
      <selection pane="bottomLeft" activeCell="T87" sqref="T87"/>
    </sheetView>
  </sheetViews>
  <sheetFormatPr defaultColWidth="8.7109375" defaultRowHeight="14.45"/>
  <cols>
    <col min="1" max="1" width="8.28515625" style="4" customWidth="1"/>
    <col min="2" max="2" width="23.140625" style="8" customWidth="1"/>
    <col min="3" max="3" width="5.28515625" style="12" customWidth="1"/>
    <col min="4" max="4" width="4.7109375" style="12" customWidth="1"/>
    <col min="5" max="6" width="4.42578125" style="12" customWidth="1"/>
    <col min="7" max="7" width="5" style="12" customWidth="1"/>
    <col min="8" max="8" width="5.140625" style="12" customWidth="1"/>
    <col min="9" max="9" width="6" style="12" customWidth="1"/>
    <col min="10" max="12" width="5.7109375" style="12" customWidth="1"/>
    <col min="13" max="13" width="6.42578125" style="12" customWidth="1"/>
    <col min="14" max="14" width="9.7109375" style="12" customWidth="1"/>
    <col min="15" max="16" width="6.42578125" style="4" customWidth="1"/>
    <col min="17" max="17" width="4.7109375" style="4" customWidth="1"/>
    <col min="18" max="18" width="5.7109375" style="4" customWidth="1"/>
    <col min="20" max="20" width="33.7109375" style="38" customWidth="1"/>
    <col min="21" max="22" width="6.7109375" style="38" customWidth="1"/>
    <col min="23" max="23" width="22.7109375" style="38" customWidth="1"/>
    <col min="24" max="25" width="5.7109375" style="38" bestFit="1" customWidth="1"/>
  </cols>
  <sheetData>
    <row r="1" spans="1:25" s="16" customFormat="1" ht="23.25" customHeight="1">
      <c r="A1" s="15" t="s">
        <v>0</v>
      </c>
      <c r="B1" s="15" t="s">
        <v>375</v>
      </c>
      <c r="C1" s="764" t="s">
        <v>6</v>
      </c>
      <c r="D1" s="764"/>
      <c r="E1" s="764" t="s">
        <v>7</v>
      </c>
      <c r="F1" s="764"/>
      <c r="G1" s="764" t="s">
        <v>8</v>
      </c>
      <c r="H1" s="764"/>
      <c r="I1" s="701" t="s">
        <v>592</v>
      </c>
      <c r="J1" s="701" t="s">
        <v>593</v>
      </c>
      <c r="K1" s="701" t="s">
        <v>594</v>
      </c>
      <c r="L1" s="701" t="s">
        <v>885</v>
      </c>
      <c r="M1" s="701" t="s">
        <v>886</v>
      </c>
      <c r="N1" s="701" t="s">
        <v>418</v>
      </c>
      <c r="O1" s="15" t="s">
        <v>420</v>
      </c>
      <c r="P1" s="15" t="s">
        <v>421</v>
      </c>
      <c r="Q1" s="15" t="s">
        <v>422</v>
      </c>
      <c r="R1" s="15" t="s">
        <v>423</v>
      </c>
      <c r="T1" s="37"/>
      <c r="U1" s="37"/>
      <c r="V1" s="37"/>
      <c r="W1" s="37"/>
      <c r="X1" s="37"/>
      <c r="Y1" s="37"/>
    </row>
    <row r="2" spans="1:25">
      <c r="A2" s="5">
        <v>44936</v>
      </c>
      <c r="B2" s="8" t="s">
        <v>887</v>
      </c>
      <c r="C2" s="12">
        <v>21.65</v>
      </c>
      <c r="D2" s="12">
        <v>23</v>
      </c>
      <c r="E2" s="12">
        <v>20.49</v>
      </c>
      <c r="F2" s="12">
        <v>25.225000000000001</v>
      </c>
      <c r="G2" s="12">
        <v>24.4</v>
      </c>
      <c r="H2" s="12">
        <v>23.45</v>
      </c>
    </row>
    <row r="3" spans="1:25">
      <c r="A3" s="5">
        <v>44936</v>
      </c>
      <c r="B3" s="8" t="s">
        <v>27</v>
      </c>
      <c r="C3" s="12">
        <v>21.65</v>
      </c>
      <c r="D3" s="12">
        <v>23</v>
      </c>
      <c r="E3" s="12">
        <v>20.49</v>
      </c>
      <c r="F3" s="12">
        <v>25.225000000000001</v>
      </c>
      <c r="G3" s="12">
        <v>24.146899999999999</v>
      </c>
      <c r="H3" s="12">
        <v>23.75</v>
      </c>
      <c r="N3" s="12">
        <v>4.0317160000000003</v>
      </c>
    </row>
    <row r="4" spans="1:25">
      <c r="A4" s="5">
        <v>44936</v>
      </c>
      <c r="B4" s="8" t="s">
        <v>887</v>
      </c>
      <c r="C4" s="12">
        <v>21.76</v>
      </c>
      <c r="D4" s="12">
        <v>23.44</v>
      </c>
      <c r="E4" s="12">
        <v>21.16</v>
      </c>
      <c r="F4" s="12">
        <v>25.34</v>
      </c>
      <c r="G4" s="12">
        <v>24.4</v>
      </c>
      <c r="H4" s="12">
        <v>23.45</v>
      </c>
      <c r="O4" s="4">
        <v>8.0000000000000002E-3</v>
      </c>
      <c r="P4" s="4">
        <v>-2E-3</v>
      </c>
      <c r="Q4" s="7">
        <v>797.2</v>
      </c>
      <c r="R4" s="7">
        <v>606.70000000000005</v>
      </c>
    </row>
    <row r="5" spans="1:25" s="11" customFormat="1">
      <c r="A5" s="9">
        <v>44937</v>
      </c>
      <c r="B5" s="10" t="s">
        <v>888</v>
      </c>
      <c r="C5" s="12">
        <v>21.76</v>
      </c>
      <c r="D5" s="12">
        <v>23.44</v>
      </c>
      <c r="E5" s="12">
        <v>21.16</v>
      </c>
      <c r="F5" s="12">
        <v>25.34</v>
      </c>
      <c r="G5" s="12">
        <v>24.4</v>
      </c>
      <c r="H5" s="12">
        <v>23.45</v>
      </c>
      <c r="I5" s="14">
        <v>101.5</v>
      </c>
      <c r="J5" s="14">
        <v>125.7</v>
      </c>
      <c r="K5" s="14"/>
      <c r="L5" s="14">
        <v>8.9550000000000005E-2</v>
      </c>
      <c r="M5" s="14">
        <v>4.6039999999999998E-2</v>
      </c>
      <c r="N5" s="14"/>
      <c r="O5" s="8">
        <v>7.1999999999999998E-3</v>
      </c>
      <c r="P5" s="8">
        <v>4.0000000000000002E-4</v>
      </c>
      <c r="Q5" s="8"/>
      <c r="R5" s="8"/>
      <c r="T5" s="37"/>
      <c r="U5" s="37"/>
      <c r="V5" s="37"/>
      <c r="W5" s="37"/>
      <c r="X5" s="37"/>
      <c r="Y5" s="37"/>
    </row>
    <row r="6" spans="1:25">
      <c r="A6" s="5">
        <v>44937</v>
      </c>
      <c r="B6" s="8" t="s">
        <v>889</v>
      </c>
      <c r="C6" s="12">
        <v>21.76</v>
      </c>
      <c r="D6" s="12">
        <v>23.44</v>
      </c>
      <c r="E6" s="12">
        <v>21.16</v>
      </c>
      <c r="F6" s="12">
        <v>25.34</v>
      </c>
      <c r="G6" s="12">
        <v>24.4</v>
      </c>
      <c r="H6" s="12">
        <v>23.45</v>
      </c>
      <c r="I6" s="12">
        <v>111.505</v>
      </c>
      <c r="J6" s="12">
        <v>148.80099999999999</v>
      </c>
      <c r="L6" s="14">
        <v>8.9550000000000005E-2</v>
      </c>
      <c r="M6" s="14">
        <v>4.6039999999999998E-2</v>
      </c>
      <c r="Q6" s="4">
        <v>797.7</v>
      </c>
      <c r="R6" s="4">
        <v>606.1</v>
      </c>
    </row>
    <row r="7" spans="1:25">
      <c r="A7" s="5">
        <v>44937</v>
      </c>
      <c r="B7" s="8" t="s">
        <v>890</v>
      </c>
      <c r="C7" s="12">
        <v>21.76</v>
      </c>
      <c r="D7" s="12">
        <v>23.44</v>
      </c>
      <c r="E7" s="12">
        <v>21.16</v>
      </c>
      <c r="F7" s="12">
        <v>25.34</v>
      </c>
      <c r="G7" s="12">
        <v>24.4</v>
      </c>
      <c r="H7" s="12">
        <v>23.45</v>
      </c>
      <c r="I7" s="12">
        <v>124.405</v>
      </c>
      <c r="J7" s="12">
        <v>142.40100000000001</v>
      </c>
      <c r="L7" s="14">
        <v>8.9550000000000005E-2</v>
      </c>
      <c r="M7" s="14">
        <v>4.6039999999999998E-2</v>
      </c>
      <c r="N7" s="12">
        <v>3.4667659999999998</v>
      </c>
      <c r="Q7" s="4">
        <v>797.4</v>
      </c>
      <c r="R7" s="4">
        <v>606.29999999999995</v>
      </c>
    </row>
    <row r="8" spans="1:25" s="6" customFormat="1">
      <c r="A8" s="31">
        <v>44937</v>
      </c>
      <c r="B8" s="17" t="s">
        <v>891</v>
      </c>
      <c r="C8" s="13">
        <v>21.76</v>
      </c>
      <c r="D8" s="13">
        <v>23.44</v>
      </c>
      <c r="E8" s="13">
        <v>21.16</v>
      </c>
      <c r="F8" s="13">
        <v>25.34</v>
      </c>
      <c r="G8" s="13">
        <v>24.4</v>
      </c>
      <c r="H8" s="13">
        <v>23.45</v>
      </c>
      <c r="I8" s="13">
        <v>100.693</v>
      </c>
      <c r="J8" s="13">
        <v>100.398</v>
      </c>
      <c r="K8" s="13"/>
      <c r="L8" s="32">
        <v>8.9550000000000005E-2</v>
      </c>
      <c r="M8" s="32">
        <v>4.6039999999999998E-2</v>
      </c>
      <c r="N8" s="13">
        <v>3.4587720000000002</v>
      </c>
      <c r="O8" s="93"/>
      <c r="P8" s="93"/>
      <c r="Q8" s="93">
        <v>797.5</v>
      </c>
      <c r="R8" s="93">
        <v>605.5</v>
      </c>
      <c r="T8" s="39"/>
      <c r="U8" s="39"/>
      <c r="V8" s="39"/>
      <c r="W8" s="39"/>
      <c r="X8" s="39"/>
      <c r="Y8" s="39"/>
    </row>
    <row r="9" spans="1:25">
      <c r="A9" s="5">
        <v>44937</v>
      </c>
      <c r="B9" s="8" t="s">
        <v>615</v>
      </c>
      <c r="C9" s="12">
        <v>21.76</v>
      </c>
      <c r="D9" s="12">
        <v>23.44</v>
      </c>
      <c r="E9" s="12">
        <v>21.16</v>
      </c>
      <c r="F9" s="12">
        <v>25.34</v>
      </c>
      <c r="G9" s="12">
        <v>24.4</v>
      </c>
      <c r="H9" s="12">
        <v>23.45</v>
      </c>
      <c r="I9" s="12">
        <v>88.503</v>
      </c>
      <c r="J9" s="12">
        <v>108.398</v>
      </c>
      <c r="L9" s="14">
        <v>8.9550000000000005E-2</v>
      </c>
      <c r="M9" s="14">
        <v>4.6039999999999998E-2</v>
      </c>
      <c r="Q9" s="4">
        <v>797.8</v>
      </c>
      <c r="R9" s="4">
        <v>606.70000000000005</v>
      </c>
    </row>
    <row r="10" spans="1:25" s="11" customFormat="1">
      <c r="A10" s="9">
        <v>44937</v>
      </c>
      <c r="B10" s="10" t="s">
        <v>892</v>
      </c>
      <c r="C10" s="12">
        <v>21.76</v>
      </c>
      <c r="D10" s="12">
        <v>23.44</v>
      </c>
      <c r="E10" s="12">
        <v>21.16</v>
      </c>
      <c r="F10" s="12">
        <v>25.34</v>
      </c>
      <c r="G10" s="12">
        <v>24.4</v>
      </c>
      <c r="H10" s="12">
        <v>23.45</v>
      </c>
      <c r="I10" s="12">
        <v>-76.099999999999994</v>
      </c>
      <c r="J10" s="12">
        <v>125.7</v>
      </c>
      <c r="K10" s="12"/>
      <c r="L10" s="14">
        <v>6.3820000000000002E-2</v>
      </c>
      <c r="M10" s="14">
        <v>3.4950000000000002E-2</v>
      </c>
      <c r="N10" s="14"/>
      <c r="O10" s="8">
        <v>6.1999999999999998E-3</v>
      </c>
      <c r="P10" s="8">
        <v>-4.4000000000000003E-3</v>
      </c>
      <c r="Q10" s="8"/>
      <c r="R10" s="8"/>
      <c r="T10" s="37"/>
      <c r="U10" s="37"/>
      <c r="V10" s="37"/>
      <c r="W10" s="37"/>
      <c r="X10" s="37"/>
      <c r="Y10" s="37"/>
    </row>
    <row r="11" spans="1:25">
      <c r="A11" s="5">
        <v>44937</v>
      </c>
      <c r="B11" s="8" t="s">
        <v>646</v>
      </c>
      <c r="C11" s="12">
        <v>21.76</v>
      </c>
      <c r="D11" s="12">
        <v>23.44</v>
      </c>
      <c r="E11" s="12">
        <v>21.16</v>
      </c>
      <c r="F11" s="12">
        <v>25.34</v>
      </c>
      <c r="G11" s="12">
        <v>24.4</v>
      </c>
      <c r="H11" s="12">
        <v>23.45</v>
      </c>
      <c r="I11" s="12">
        <v>-60.597000000000001</v>
      </c>
      <c r="J11" s="12">
        <v>108.399</v>
      </c>
      <c r="L11" s="14">
        <v>6.3820000000000002E-2</v>
      </c>
      <c r="M11" s="14">
        <v>3.4950000000000002E-2</v>
      </c>
      <c r="Q11" s="4">
        <v>797.2</v>
      </c>
      <c r="R11" s="4">
        <v>606.70000000000005</v>
      </c>
    </row>
    <row r="12" spans="1:25">
      <c r="A12" s="5">
        <v>44937</v>
      </c>
      <c r="B12" s="8" t="s">
        <v>893</v>
      </c>
      <c r="C12" s="12">
        <v>21.76</v>
      </c>
      <c r="D12" s="12">
        <v>23.44</v>
      </c>
      <c r="E12" s="12">
        <v>21.16</v>
      </c>
      <c r="F12" s="12">
        <v>25.34</v>
      </c>
      <c r="G12" s="12">
        <v>24.4</v>
      </c>
      <c r="H12" s="12">
        <v>23.45</v>
      </c>
      <c r="I12" s="12">
        <v>-72.501999999999995</v>
      </c>
      <c r="J12" s="12">
        <v>100.199</v>
      </c>
      <c r="L12" s="14">
        <v>6.3820000000000002E-2</v>
      </c>
      <c r="M12" s="14">
        <v>3.4950000000000002E-2</v>
      </c>
      <c r="N12" s="12">
        <v>3.458844</v>
      </c>
      <c r="Q12" s="4">
        <v>795.5</v>
      </c>
      <c r="R12" s="4">
        <v>607.5</v>
      </c>
    </row>
    <row r="13" spans="1:25">
      <c r="A13" s="5">
        <v>44937</v>
      </c>
      <c r="B13" s="8" t="s">
        <v>894</v>
      </c>
      <c r="C13" s="12">
        <v>21.76</v>
      </c>
      <c r="D13" s="12">
        <v>23.44</v>
      </c>
      <c r="E13" s="12">
        <v>21.16</v>
      </c>
      <c r="F13" s="12">
        <v>25.34</v>
      </c>
      <c r="G13" s="12">
        <v>24.4</v>
      </c>
      <c r="H13" s="12">
        <v>23.45</v>
      </c>
      <c r="I13" s="12" t="s">
        <v>525</v>
      </c>
      <c r="J13" s="12" t="s">
        <v>568</v>
      </c>
      <c r="L13" s="14">
        <v>6.3820000000000002E-2</v>
      </c>
      <c r="M13" s="14">
        <v>3.4950000000000002E-2</v>
      </c>
      <c r="N13" s="12">
        <v>3.4668429999999999</v>
      </c>
      <c r="Q13" s="4">
        <v>796.4</v>
      </c>
      <c r="R13" s="4">
        <v>606.5</v>
      </c>
    </row>
    <row r="14" spans="1:25">
      <c r="A14" s="5">
        <v>44937</v>
      </c>
      <c r="B14" s="8" t="s">
        <v>895</v>
      </c>
      <c r="C14" s="12">
        <v>21.76</v>
      </c>
      <c r="D14" s="12">
        <v>23.44</v>
      </c>
      <c r="E14" s="12">
        <v>21.16</v>
      </c>
      <c r="F14" s="12">
        <v>25.34</v>
      </c>
      <c r="G14" s="12">
        <v>24.4</v>
      </c>
      <c r="H14" s="12">
        <v>23.45</v>
      </c>
      <c r="I14" s="12">
        <v>-83.617999999999995</v>
      </c>
      <c r="J14" s="12">
        <v>148.642</v>
      </c>
      <c r="L14" s="14">
        <v>6.3820000000000002E-2</v>
      </c>
      <c r="M14" s="14">
        <v>3.4950000000000002E-2</v>
      </c>
      <c r="Q14" s="4">
        <v>797</v>
      </c>
      <c r="R14" s="4">
        <v>606.70000000000005</v>
      </c>
    </row>
    <row r="15" spans="1:25" s="11" customFormat="1">
      <c r="A15" s="9">
        <v>44937</v>
      </c>
      <c r="B15" s="8" t="s">
        <v>888</v>
      </c>
      <c r="C15" s="12">
        <v>21.76</v>
      </c>
      <c r="D15" s="12">
        <v>23.44</v>
      </c>
      <c r="E15" s="12">
        <v>21.16</v>
      </c>
      <c r="F15" s="12">
        <v>25.34</v>
      </c>
      <c r="G15" s="12">
        <v>24.4</v>
      </c>
      <c r="H15" s="12">
        <v>23.45</v>
      </c>
      <c r="I15" s="14">
        <v>101.5</v>
      </c>
      <c r="J15" s="14">
        <v>125.7</v>
      </c>
      <c r="K15" s="14"/>
      <c r="L15" s="14">
        <v>8.7660000000000002E-2</v>
      </c>
      <c r="M15" s="14">
        <v>4.1349999999999998E-2</v>
      </c>
      <c r="N15" s="14"/>
      <c r="O15" s="8">
        <v>6.1999999999999998E-3</v>
      </c>
      <c r="P15" s="8">
        <v>-4.7999999999999996E-3</v>
      </c>
      <c r="Q15" s="8"/>
      <c r="R15" s="8"/>
      <c r="T15" s="37"/>
      <c r="U15" s="37"/>
      <c r="V15" s="37"/>
      <c r="W15" s="37"/>
      <c r="X15" s="37"/>
      <c r="Y15" s="37"/>
    </row>
    <row r="16" spans="1:25">
      <c r="A16" s="5">
        <v>44947</v>
      </c>
      <c r="B16" s="8" t="s">
        <v>896</v>
      </c>
      <c r="C16" s="12">
        <v>21.76</v>
      </c>
      <c r="D16" s="12">
        <v>23.44</v>
      </c>
      <c r="E16" s="12">
        <v>21.16</v>
      </c>
      <c r="F16" s="12">
        <v>25.34</v>
      </c>
      <c r="G16" s="12">
        <v>24.4</v>
      </c>
      <c r="H16" s="12">
        <v>23.45</v>
      </c>
      <c r="I16" s="12">
        <v>-76.099999999999994</v>
      </c>
      <c r="J16" s="12">
        <v>125.7</v>
      </c>
      <c r="L16" s="12">
        <v>6.3820000000000002E-2</v>
      </c>
      <c r="M16" s="12">
        <v>3.4950000000000002E-2</v>
      </c>
      <c r="O16" s="4">
        <v>4.1000000000000003E-3</v>
      </c>
      <c r="P16" s="4">
        <v>-2E-3</v>
      </c>
    </row>
    <row r="17" spans="1:25">
      <c r="A17" s="5">
        <v>44947</v>
      </c>
      <c r="B17" s="8" t="s">
        <v>897</v>
      </c>
      <c r="C17" s="12">
        <v>21.76</v>
      </c>
      <c r="D17" s="12">
        <v>23.44</v>
      </c>
      <c r="E17" s="12">
        <v>21.16</v>
      </c>
      <c r="F17" s="12">
        <v>25.34</v>
      </c>
      <c r="G17" s="12">
        <v>24.4</v>
      </c>
      <c r="H17" s="12">
        <v>23.45</v>
      </c>
      <c r="I17" s="12">
        <v>-60.655999999999999</v>
      </c>
      <c r="J17" s="12">
        <v>108.44799999999999</v>
      </c>
      <c r="L17" s="12">
        <v>6.3820000000000002E-2</v>
      </c>
      <c r="M17" s="12">
        <v>3.4950000000000002E-2</v>
      </c>
      <c r="Q17" s="4">
        <v>796.9</v>
      </c>
      <c r="R17" s="4">
        <v>607.9</v>
      </c>
    </row>
    <row r="18" spans="1:25">
      <c r="A18" s="5">
        <v>44947</v>
      </c>
      <c r="B18" s="8" t="s">
        <v>898</v>
      </c>
      <c r="C18" s="12">
        <v>21.76</v>
      </c>
      <c r="D18" s="12">
        <v>23.44</v>
      </c>
      <c r="E18" s="12">
        <v>21.16</v>
      </c>
      <c r="F18" s="12">
        <v>25.34</v>
      </c>
      <c r="G18" s="12">
        <v>24.4</v>
      </c>
      <c r="H18" s="12">
        <v>23.45</v>
      </c>
      <c r="I18" s="12">
        <v>-71.5</v>
      </c>
      <c r="J18" s="12">
        <v>100.2</v>
      </c>
      <c r="L18" s="12">
        <v>6.3820000000000002E-2</v>
      </c>
      <c r="M18" s="12">
        <v>3.4950000000000002E-2</v>
      </c>
      <c r="N18" s="12">
        <v>3.4588040000000002</v>
      </c>
      <c r="Q18" s="4">
        <v>781</v>
      </c>
      <c r="R18" s="4">
        <v>620</v>
      </c>
    </row>
    <row r="19" spans="1:25">
      <c r="A19" s="5">
        <v>44947</v>
      </c>
      <c r="B19" s="8" t="s">
        <v>899</v>
      </c>
      <c r="C19" s="12">
        <v>21.76</v>
      </c>
      <c r="D19" s="12">
        <v>23.44</v>
      </c>
      <c r="E19" s="12">
        <v>21.16</v>
      </c>
      <c r="F19" s="12">
        <v>25.34</v>
      </c>
      <c r="G19" s="12">
        <v>24.4</v>
      </c>
      <c r="H19" s="12">
        <v>23.45</v>
      </c>
      <c r="I19" s="12">
        <v>-97.507999999999996</v>
      </c>
      <c r="J19" s="12">
        <v>142.6</v>
      </c>
      <c r="L19" s="12">
        <v>6.3820000000000002E-2</v>
      </c>
      <c r="M19" s="12">
        <v>3.4950000000000002E-2</v>
      </c>
      <c r="N19" s="12">
        <v>3.4669289999999999</v>
      </c>
      <c r="Q19" s="4">
        <v>775</v>
      </c>
      <c r="R19" s="4">
        <v>613</v>
      </c>
    </row>
    <row r="20" spans="1:25">
      <c r="A20" s="5">
        <v>44947</v>
      </c>
      <c r="B20" s="8" t="s">
        <v>895</v>
      </c>
      <c r="C20" s="12">
        <v>21.76</v>
      </c>
      <c r="D20" s="12">
        <v>23.44</v>
      </c>
      <c r="E20" s="12">
        <v>21.16</v>
      </c>
      <c r="F20" s="12">
        <v>25.34</v>
      </c>
      <c r="G20" s="12">
        <v>24.4</v>
      </c>
      <c r="H20" s="12">
        <v>23.45</v>
      </c>
      <c r="I20" s="12">
        <v>-83.76</v>
      </c>
      <c r="J20" s="12">
        <v>148.69</v>
      </c>
      <c r="L20" s="12">
        <v>6.3820000000000002E-2</v>
      </c>
      <c r="M20" s="12">
        <v>3.4950000000000002E-2</v>
      </c>
      <c r="Q20" s="4">
        <v>797.2</v>
      </c>
      <c r="R20" s="4">
        <v>607</v>
      </c>
    </row>
    <row r="21" spans="1:25">
      <c r="A21" s="5">
        <v>44947</v>
      </c>
      <c r="B21" s="8" t="s">
        <v>674</v>
      </c>
      <c r="C21" s="12">
        <v>21.76</v>
      </c>
      <c r="D21" s="12">
        <v>23.44</v>
      </c>
      <c r="E21" s="12">
        <v>21.16</v>
      </c>
      <c r="F21" s="12">
        <v>25.34</v>
      </c>
      <c r="G21" s="12">
        <v>24.4</v>
      </c>
      <c r="H21" s="12">
        <v>23.45</v>
      </c>
      <c r="I21" s="12">
        <v>101.54</v>
      </c>
      <c r="J21" s="12">
        <v>125.7</v>
      </c>
      <c r="L21" s="12">
        <v>8.9550000000000005E-2</v>
      </c>
      <c r="M21" s="12">
        <v>4.6039999999999998E-2</v>
      </c>
      <c r="O21" s="4">
        <v>7.6E-3</v>
      </c>
      <c r="P21" s="4">
        <v>1.1000000000000001E-3</v>
      </c>
    </row>
    <row r="22" spans="1:25" s="22" customFormat="1">
      <c r="A22" s="18">
        <v>44947</v>
      </c>
      <c r="B22" s="19" t="s">
        <v>900</v>
      </c>
      <c r="C22" s="12">
        <v>21.76</v>
      </c>
      <c r="D22" s="12">
        <v>23.44</v>
      </c>
      <c r="E22" s="12">
        <v>21.16</v>
      </c>
      <c r="F22" s="12">
        <v>25.34</v>
      </c>
      <c r="G22" s="12">
        <v>24.4</v>
      </c>
      <c r="H22" s="12">
        <v>23.45</v>
      </c>
      <c r="I22" s="20">
        <v>88.352999999999994</v>
      </c>
      <c r="J22" s="20">
        <v>108.404</v>
      </c>
      <c r="K22" s="20"/>
      <c r="L22" s="12">
        <v>8.9550000000000005E-2</v>
      </c>
      <c r="M22" s="12">
        <v>4.6039999999999998E-2</v>
      </c>
      <c r="N22" s="20"/>
      <c r="O22" s="21"/>
      <c r="P22" s="21"/>
      <c r="Q22" s="21"/>
      <c r="R22" s="21"/>
      <c r="T22" s="40"/>
      <c r="U22" s="40"/>
      <c r="V22" s="40"/>
      <c r="W22" s="40"/>
      <c r="X22" s="40"/>
      <c r="Y22" s="40"/>
    </row>
    <row r="23" spans="1:25" s="6" customFormat="1">
      <c r="A23" s="31">
        <v>44947</v>
      </c>
      <c r="B23" s="17" t="s">
        <v>901</v>
      </c>
      <c r="C23" s="13">
        <v>21.76</v>
      </c>
      <c r="D23" s="13">
        <v>23.44</v>
      </c>
      <c r="E23" s="13">
        <v>21.16</v>
      </c>
      <c r="F23" s="13">
        <v>25.34</v>
      </c>
      <c r="G23" s="13">
        <v>24.4</v>
      </c>
      <c r="H23" s="13">
        <v>23.45</v>
      </c>
      <c r="I23" s="13">
        <v>99.701999999999998</v>
      </c>
      <c r="J23" s="13">
        <v>102.4</v>
      </c>
      <c r="K23" s="13"/>
      <c r="L23" s="13">
        <v>8.9550000000000005E-2</v>
      </c>
      <c r="M23" s="13">
        <v>4.6039999999999998E-2</v>
      </c>
      <c r="N23" s="13">
        <v>3.459209</v>
      </c>
      <c r="O23" s="93">
        <v>759</v>
      </c>
      <c r="P23" s="93">
        <v>581</v>
      </c>
      <c r="Q23" s="93"/>
      <c r="R23" s="93"/>
      <c r="T23" s="39"/>
      <c r="U23" s="39"/>
      <c r="V23" s="39"/>
      <c r="W23" s="39"/>
      <c r="X23" s="39"/>
      <c r="Y23" s="39"/>
    </row>
    <row r="24" spans="1:25">
      <c r="A24" s="5">
        <v>44947</v>
      </c>
      <c r="B24" s="8" t="s">
        <v>653</v>
      </c>
      <c r="C24" s="12">
        <v>21.76</v>
      </c>
      <c r="D24" s="12">
        <v>23.44</v>
      </c>
      <c r="E24" s="12">
        <v>21.16</v>
      </c>
      <c r="F24" s="12">
        <v>25.34</v>
      </c>
      <c r="G24" s="12">
        <v>24.4</v>
      </c>
      <c r="H24" s="12">
        <v>23.45</v>
      </c>
      <c r="I24" s="12">
        <v>123.41500000000001</v>
      </c>
      <c r="J24" s="12">
        <v>144.4</v>
      </c>
      <c r="L24" s="12">
        <v>8.9550000000000005E-2</v>
      </c>
      <c r="M24" s="12">
        <v>4.6039999999999998E-2</v>
      </c>
      <c r="N24" s="12">
        <v>3.4672369999999999</v>
      </c>
    </row>
    <row r="25" spans="1:25">
      <c r="A25" s="5">
        <v>44947</v>
      </c>
      <c r="B25" s="8" t="s">
        <v>902</v>
      </c>
      <c r="C25" s="12">
        <v>21.76</v>
      </c>
      <c r="D25" s="12">
        <v>23.44</v>
      </c>
      <c r="E25" s="12">
        <v>21.16</v>
      </c>
      <c r="F25" s="12">
        <v>25.34</v>
      </c>
      <c r="G25" s="12">
        <v>24.4</v>
      </c>
      <c r="H25" s="12">
        <v>23.45</v>
      </c>
      <c r="I25" s="12">
        <v>111.354</v>
      </c>
      <c r="J25" s="12">
        <v>140.80099999999999</v>
      </c>
      <c r="L25" s="12">
        <v>8.9550000000000005E-2</v>
      </c>
      <c r="M25" s="12">
        <v>4.6039999999999998E-2</v>
      </c>
      <c r="Q25" s="4">
        <v>796.1</v>
      </c>
      <c r="R25" s="4">
        <v>606.70000000000005</v>
      </c>
    </row>
    <row r="26" spans="1:25">
      <c r="A26" s="5">
        <v>44947</v>
      </c>
      <c r="B26" s="8" t="s">
        <v>887</v>
      </c>
      <c r="C26" s="12">
        <v>21.76</v>
      </c>
      <c r="D26" s="12">
        <v>23.44</v>
      </c>
      <c r="E26" s="12">
        <v>21.16</v>
      </c>
      <c r="F26" s="12">
        <v>25.34</v>
      </c>
      <c r="G26" s="12">
        <v>24.4</v>
      </c>
      <c r="H26" s="12">
        <v>23.45</v>
      </c>
      <c r="O26" s="4">
        <v>8.0000000000000002E-3</v>
      </c>
      <c r="P26" s="4">
        <v>2.1999999999999999E-2</v>
      </c>
      <c r="Q26" s="7">
        <v>808.4</v>
      </c>
      <c r="R26" s="7">
        <v>605.5</v>
      </c>
    </row>
    <row r="27" spans="1:25">
      <c r="A27" s="5">
        <v>44947</v>
      </c>
      <c r="B27" s="8" t="s">
        <v>599</v>
      </c>
      <c r="C27" s="12">
        <v>21.76</v>
      </c>
      <c r="D27" s="12">
        <v>23.44</v>
      </c>
      <c r="E27" s="12">
        <v>21.16</v>
      </c>
      <c r="F27" s="12">
        <v>25.34</v>
      </c>
      <c r="G27" s="12">
        <v>24.15</v>
      </c>
      <c r="H27" s="12">
        <v>23.75</v>
      </c>
      <c r="N27" s="12">
        <v>4.0322149999999999</v>
      </c>
      <c r="Q27" s="4">
        <v>131</v>
      </c>
      <c r="R27" s="4">
        <v>1058</v>
      </c>
    </row>
    <row r="28" spans="1:25">
      <c r="A28" s="5">
        <v>44947</v>
      </c>
      <c r="B28" s="8" t="s">
        <v>895</v>
      </c>
      <c r="C28" s="12">
        <v>21.76</v>
      </c>
      <c r="D28" s="12">
        <v>23.44</v>
      </c>
      <c r="E28" s="12">
        <v>21.16</v>
      </c>
      <c r="F28" s="12">
        <v>25.34</v>
      </c>
      <c r="G28" s="12">
        <v>24.15</v>
      </c>
      <c r="H28" s="12">
        <v>23.75</v>
      </c>
      <c r="I28" s="12">
        <v>-83.37</v>
      </c>
      <c r="J28" s="12">
        <v>148.34</v>
      </c>
      <c r="L28" s="12">
        <v>6.3820000000000002E-2</v>
      </c>
      <c r="M28" s="12">
        <v>3.4950000000000002E-2</v>
      </c>
      <c r="Q28" s="4">
        <v>808.1</v>
      </c>
      <c r="R28" s="4">
        <v>606.5</v>
      </c>
    </row>
    <row r="29" spans="1:25">
      <c r="A29" s="5">
        <v>44947</v>
      </c>
      <c r="B29" s="8" t="s">
        <v>897</v>
      </c>
      <c r="C29" s="12">
        <v>21.76</v>
      </c>
      <c r="D29" s="12">
        <v>23.44</v>
      </c>
      <c r="E29" s="12">
        <v>21.16</v>
      </c>
      <c r="F29" s="12">
        <v>25.34</v>
      </c>
      <c r="G29" s="12">
        <v>24.15</v>
      </c>
      <c r="H29" s="12">
        <v>23.75</v>
      </c>
      <c r="I29" s="12">
        <v>-60.3</v>
      </c>
      <c r="J29" s="12">
        <v>108.15</v>
      </c>
      <c r="L29" s="12">
        <v>6.3820000000000002E-2</v>
      </c>
      <c r="M29" s="12">
        <v>3.4950000000000002E-2</v>
      </c>
      <c r="Q29" s="4">
        <v>808.9</v>
      </c>
      <c r="R29" s="4">
        <v>605</v>
      </c>
    </row>
    <row r="30" spans="1:25">
      <c r="A30" s="5">
        <v>44947</v>
      </c>
      <c r="B30" s="8" t="s">
        <v>900</v>
      </c>
      <c r="C30" s="12">
        <v>21.76</v>
      </c>
      <c r="D30" s="12">
        <v>23.44</v>
      </c>
      <c r="E30" s="12">
        <v>21.16</v>
      </c>
      <c r="F30" s="12">
        <v>25.34</v>
      </c>
      <c r="G30" s="12">
        <v>24.15</v>
      </c>
      <c r="H30" s="12">
        <v>23.75</v>
      </c>
      <c r="I30" s="12">
        <v>88.75</v>
      </c>
      <c r="J30" s="12">
        <v>108.15</v>
      </c>
      <c r="L30" s="12">
        <v>8.9550000000000005E-2</v>
      </c>
      <c r="M30" s="12">
        <v>4.6039999999999998E-2</v>
      </c>
      <c r="Q30" s="4">
        <v>808</v>
      </c>
      <c r="R30" s="4">
        <v>605.70000000000005</v>
      </c>
    </row>
    <row r="31" spans="1:25">
      <c r="A31" s="5">
        <v>44947</v>
      </c>
      <c r="B31" s="8" t="s">
        <v>678</v>
      </c>
      <c r="C31" s="12">
        <v>21.76</v>
      </c>
      <c r="D31" s="12">
        <v>23.44</v>
      </c>
      <c r="E31" s="12">
        <v>21.16</v>
      </c>
      <c r="F31" s="12">
        <v>25.34</v>
      </c>
      <c r="G31" s="12">
        <v>24.15</v>
      </c>
      <c r="H31" s="12">
        <v>23.75</v>
      </c>
      <c r="I31" s="12">
        <v>111.7</v>
      </c>
      <c r="J31" s="12">
        <v>148.5</v>
      </c>
      <c r="L31" s="12">
        <v>8.9550000000000005E-2</v>
      </c>
      <c r="M31" s="12">
        <v>4.6039999999999998E-2</v>
      </c>
      <c r="Q31" s="4">
        <v>807.7</v>
      </c>
      <c r="R31" s="4">
        <v>606</v>
      </c>
    </row>
    <row r="32" spans="1:25">
      <c r="A32" s="5">
        <v>44948</v>
      </c>
      <c r="B32" s="8" t="s">
        <v>678</v>
      </c>
      <c r="C32" s="12">
        <v>21.76</v>
      </c>
      <c r="D32" s="12">
        <v>23.44</v>
      </c>
      <c r="E32" s="12">
        <v>21.16</v>
      </c>
      <c r="F32" s="12">
        <v>25.34</v>
      </c>
      <c r="G32" s="12">
        <v>24.15</v>
      </c>
      <c r="H32" s="12">
        <v>23.75</v>
      </c>
      <c r="I32" s="12">
        <v>111.7</v>
      </c>
      <c r="J32" s="12">
        <v>148.5</v>
      </c>
      <c r="L32" s="12">
        <v>8.9550000000000005E-2</v>
      </c>
      <c r="M32" s="12">
        <v>4.6039999999999998E-2</v>
      </c>
      <c r="Q32" s="4">
        <v>807</v>
      </c>
      <c r="R32" s="4">
        <v>607.9</v>
      </c>
    </row>
    <row r="33" spans="1:25">
      <c r="A33" s="5">
        <v>44949</v>
      </c>
      <c r="B33" s="8" t="s">
        <v>25</v>
      </c>
      <c r="C33" s="12">
        <v>21.76</v>
      </c>
      <c r="D33" s="12">
        <v>23.44</v>
      </c>
      <c r="E33" s="12">
        <v>21.16</v>
      </c>
      <c r="F33" s="12">
        <v>25.34</v>
      </c>
      <c r="G33" s="12">
        <v>24.15</v>
      </c>
      <c r="H33" s="12">
        <v>23.75</v>
      </c>
      <c r="O33" s="4">
        <v>2.5999999999999999E-2</v>
      </c>
      <c r="P33" s="4">
        <v>6.7000000000000004E-2</v>
      </c>
      <c r="Q33" s="4">
        <v>840</v>
      </c>
      <c r="R33" s="4">
        <v>614</v>
      </c>
    </row>
    <row r="34" spans="1:25">
      <c r="A34" s="5">
        <v>44949</v>
      </c>
      <c r="B34" s="8" t="s">
        <v>25</v>
      </c>
      <c r="C34" s="12">
        <v>21.75</v>
      </c>
      <c r="D34" s="12">
        <v>23.32</v>
      </c>
      <c r="E34" s="12">
        <v>21.04</v>
      </c>
      <c r="F34" s="12">
        <v>25.31</v>
      </c>
      <c r="G34" s="12">
        <v>24.15</v>
      </c>
      <c r="H34" s="12">
        <v>23.75</v>
      </c>
      <c r="O34" s="93">
        <v>4.0000000000000001E-3</v>
      </c>
      <c r="P34" s="93">
        <v>1.0999999999999999E-2</v>
      </c>
      <c r="Q34" s="93">
        <v>785</v>
      </c>
      <c r="R34" s="93">
        <v>597</v>
      </c>
    </row>
    <row r="35" spans="1:25">
      <c r="A35" s="5">
        <v>44949</v>
      </c>
      <c r="B35" s="8" t="s">
        <v>599</v>
      </c>
      <c r="C35" s="12">
        <v>21.75</v>
      </c>
      <c r="D35" s="12">
        <v>23.32</v>
      </c>
      <c r="E35" s="12">
        <v>21.04</v>
      </c>
      <c r="F35" s="12">
        <v>25.31</v>
      </c>
      <c r="G35" s="12">
        <v>24.15</v>
      </c>
      <c r="H35" s="12">
        <v>23.75</v>
      </c>
      <c r="N35" s="12">
        <v>4.0322009999999997</v>
      </c>
      <c r="Q35" s="4">
        <v>134</v>
      </c>
      <c r="R35" s="4">
        <v>1036</v>
      </c>
    </row>
    <row r="36" spans="1:25">
      <c r="A36" s="5">
        <v>44949</v>
      </c>
      <c r="B36" s="8" t="s">
        <v>674</v>
      </c>
      <c r="C36" s="12">
        <v>21.75</v>
      </c>
      <c r="D36" s="12">
        <v>23.32</v>
      </c>
      <c r="E36" s="12">
        <v>21.04</v>
      </c>
      <c r="F36" s="12">
        <v>25.31</v>
      </c>
      <c r="G36" s="12">
        <v>24.15</v>
      </c>
      <c r="H36" s="12">
        <v>23.75</v>
      </c>
      <c r="I36" s="12">
        <v>101.5</v>
      </c>
      <c r="J36" s="12">
        <v>125.7</v>
      </c>
      <c r="L36" s="12">
        <v>8.9550000000000005E-2</v>
      </c>
      <c r="M36" s="12">
        <v>4.6039999999999998E-2</v>
      </c>
      <c r="O36" s="4">
        <v>-4.0000000000000001E-3</v>
      </c>
      <c r="P36" s="4">
        <v>-1.4E-2</v>
      </c>
    </row>
    <row r="37" spans="1:25">
      <c r="A37" s="5">
        <v>44949</v>
      </c>
      <c r="B37" s="8" t="s">
        <v>615</v>
      </c>
      <c r="C37" s="12">
        <v>21.75</v>
      </c>
      <c r="D37" s="12">
        <v>23.32</v>
      </c>
      <c r="E37" s="12">
        <v>21.04</v>
      </c>
      <c r="F37" s="12">
        <v>25.31</v>
      </c>
      <c r="G37" s="12">
        <v>24.15</v>
      </c>
      <c r="H37" s="12">
        <v>23.75</v>
      </c>
      <c r="I37" s="12">
        <v>89.4</v>
      </c>
      <c r="J37" s="12">
        <v>107.3</v>
      </c>
      <c r="L37" s="12">
        <v>8.9550000000000005E-2</v>
      </c>
      <c r="M37" s="12">
        <v>4.6039999999999998E-2</v>
      </c>
      <c r="Q37" s="23">
        <v>806.8</v>
      </c>
      <c r="R37" s="23">
        <v>606.6</v>
      </c>
    </row>
    <row r="38" spans="1:25">
      <c r="A38" s="24">
        <v>44950</v>
      </c>
      <c r="B38" s="8" t="s">
        <v>903</v>
      </c>
      <c r="C38" s="25">
        <v>21.75</v>
      </c>
      <c r="D38" s="25">
        <v>23.32</v>
      </c>
      <c r="E38" s="25">
        <v>21.04</v>
      </c>
      <c r="F38" s="25">
        <v>25.31</v>
      </c>
      <c r="G38" s="25">
        <v>24.15</v>
      </c>
      <c r="H38" s="25">
        <v>23.75</v>
      </c>
      <c r="I38" s="26"/>
      <c r="J38" s="26"/>
      <c r="K38" s="26"/>
      <c r="L38" s="26"/>
      <c r="M38" s="26"/>
      <c r="N38" s="26"/>
      <c r="O38" s="27">
        <v>-2.6100000000000002E-2</v>
      </c>
      <c r="P38" s="27">
        <v>-4.2999999999999997E-2</v>
      </c>
      <c r="Q38" s="27">
        <v>738.8</v>
      </c>
      <c r="R38" s="27">
        <v>572.70000000000005</v>
      </c>
      <c r="S38" s="28"/>
    </row>
    <row r="39" spans="1:25" s="29" customFormat="1" ht="19.5" customHeight="1">
      <c r="A39" s="24">
        <v>44951</v>
      </c>
      <c r="B39" s="8" t="s">
        <v>903</v>
      </c>
      <c r="C39" s="14">
        <v>21.75</v>
      </c>
      <c r="D39" s="14">
        <v>23.32</v>
      </c>
      <c r="E39" s="14">
        <v>21.04</v>
      </c>
      <c r="F39" s="14">
        <v>25.31</v>
      </c>
      <c r="G39" s="14">
        <v>24.15</v>
      </c>
      <c r="H39" s="14">
        <v>23.75</v>
      </c>
      <c r="I39" s="14"/>
      <c r="J39" s="14"/>
      <c r="K39" s="14"/>
      <c r="L39" s="14"/>
      <c r="M39" s="14"/>
      <c r="N39" s="14"/>
      <c r="O39" s="8">
        <v>-0.03</v>
      </c>
      <c r="P39" s="8">
        <v>1.6E-2</v>
      </c>
      <c r="Q39" s="8">
        <v>787</v>
      </c>
      <c r="R39" s="8">
        <v>571</v>
      </c>
      <c r="T39" s="37"/>
      <c r="U39" s="37"/>
      <c r="V39" s="37"/>
      <c r="W39" s="37"/>
      <c r="X39" s="37"/>
      <c r="Y39" s="37"/>
    </row>
    <row r="40" spans="1:25">
      <c r="A40" s="24">
        <v>44951</v>
      </c>
      <c r="B40" s="8" t="s">
        <v>903</v>
      </c>
      <c r="C40" s="12">
        <v>21.68</v>
      </c>
      <c r="D40" s="12">
        <v>21.66</v>
      </c>
      <c r="E40" s="12">
        <v>21.53</v>
      </c>
      <c r="F40" s="12">
        <v>25.27</v>
      </c>
      <c r="G40" s="12">
        <v>24.15</v>
      </c>
      <c r="H40" s="12">
        <v>23.75</v>
      </c>
      <c r="O40" s="93">
        <v>-4.0000000000000002E-4</v>
      </c>
      <c r="P40" s="93">
        <v>-5.0000000000000001E-3</v>
      </c>
      <c r="Q40" s="93">
        <v>796.8</v>
      </c>
      <c r="R40" s="93">
        <v>599</v>
      </c>
    </row>
    <row r="41" spans="1:25">
      <c r="A41" s="24">
        <v>44951</v>
      </c>
      <c r="B41" s="8" t="s">
        <v>904</v>
      </c>
      <c r="C41" s="12">
        <v>21.68</v>
      </c>
      <c r="D41" s="12">
        <v>21.66</v>
      </c>
      <c r="E41" s="12">
        <v>21.53</v>
      </c>
      <c r="F41" s="12">
        <v>25.27</v>
      </c>
      <c r="G41" s="12">
        <v>24.15</v>
      </c>
      <c r="H41" s="12">
        <v>23.75</v>
      </c>
      <c r="N41" s="12">
        <v>4.0321309999999997</v>
      </c>
    </row>
    <row r="42" spans="1:25">
      <c r="A42" s="24">
        <v>44951</v>
      </c>
      <c r="B42" s="8" t="s">
        <v>905</v>
      </c>
      <c r="C42" s="12">
        <v>21.68</v>
      </c>
      <c r="D42" s="12">
        <v>21.66</v>
      </c>
      <c r="E42" s="12">
        <v>21.53</v>
      </c>
      <c r="F42" s="12">
        <v>25.27</v>
      </c>
      <c r="G42" s="12">
        <v>24.15</v>
      </c>
      <c r="H42" s="12">
        <v>23.75</v>
      </c>
      <c r="I42" s="12">
        <v>101.5</v>
      </c>
      <c r="J42" s="12">
        <v>125.7</v>
      </c>
      <c r="L42" s="12">
        <v>8.8999999999999996E-2</v>
      </c>
      <c r="M42" s="12">
        <v>4.5999999999999999E-2</v>
      </c>
      <c r="O42" s="4">
        <v>-7.0000000000000001E-3</v>
      </c>
      <c r="P42" s="4">
        <v>-0.03</v>
      </c>
    </row>
    <row r="43" spans="1:25">
      <c r="A43" s="24">
        <v>44951</v>
      </c>
      <c r="B43" s="8" t="s">
        <v>31</v>
      </c>
      <c r="C43" s="12">
        <v>21.68</v>
      </c>
      <c r="D43" s="12">
        <v>21.66</v>
      </c>
      <c r="E43" s="12">
        <v>21.53</v>
      </c>
      <c r="F43" s="12">
        <v>25.27</v>
      </c>
      <c r="G43" s="12">
        <v>24.15</v>
      </c>
      <c r="H43" s="12">
        <v>23.75</v>
      </c>
      <c r="I43" s="12">
        <v>101.5</v>
      </c>
      <c r="J43" s="12">
        <v>125.7</v>
      </c>
      <c r="L43" s="12">
        <v>0.106</v>
      </c>
      <c r="M43" s="12">
        <v>6.0999999999999999E-2</v>
      </c>
      <c r="O43" s="30">
        <v>-1.1000000000000001E-3</v>
      </c>
      <c r="P43" s="30">
        <v>-1.0699999999999999E-2</v>
      </c>
    </row>
    <row r="44" spans="1:25">
      <c r="A44" s="24">
        <v>44951</v>
      </c>
      <c r="B44" s="8" t="s">
        <v>615</v>
      </c>
      <c r="C44" s="12">
        <v>21.68</v>
      </c>
      <c r="D44" s="12">
        <v>21.66</v>
      </c>
      <c r="E44" s="12">
        <v>21.53</v>
      </c>
      <c r="F44" s="12">
        <v>25.27</v>
      </c>
      <c r="G44" s="12">
        <v>24.15</v>
      </c>
      <c r="H44" s="12">
        <v>23.75</v>
      </c>
      <c r="I44" s="12">
        <v>88.69</v>
      </c>
      <c r="J44" s="12">
        <v>108.5</v>
      </c>
      <c r="L44" s="12">
        <v>0.106</v>
      </c>
      <c r="M44" s="12">
        <v>6.0999999999999999E-2</v>
      </c>
      <c r="Q44" s="30">
        <v>796.8</v>
      </c>
      <c r="R44" s="30">
        <v>598.6</v>
      </c>
    </row>
    <row r="45" spans="1:25">
      <c r="A45" s="24">
        <v>44951</v>
      </c>
      <c r="B45" s="8" t="s">
        <v>616</v>
      </c>
      <c r="C45" s="12">
        <v>21.68</v>
      </c>
      <c r="D45" s="12">
        <v>21.66</v>
      </c>
      <c r="E45" s="12">
        <v>21.53</v>
      </c>
      <c r="F45" s="12">
        <v>25.27</v>
      </c>
      <c r="G45" s="12">
        <v>24.15</v>
      </c>
      <c r="H45" s="12">
        <v>23.75</v>
      </c>
      <c r="I45" s="12">
        <v>69.2</v>
      </c>
      <c r="J45" s="12">
        <v>102.9</v>
      </c>
      <c r="L45" s="12">
        <v>0.106</v>
      </c>
      <c r="M45" s="12">
        <v>6.0999999999999999E-2</v>
      </c>
      <c r="N45" s="12">
        <v>3.4595769999999999</v>
      </c>
    </row>
    <row r="46" spans="1:25">
      <c r="A46" s="24">
        <v>44951</v>
      </c>
      <c r="B46" s="8" t="s">
        <v>25</v>
      </c>
      <c r="C46" s="12">
        <v>21.68</v>
      </c>
      <c r="D46" s="12">
        <v>21.66</v>
      </c>
      <c r="E46" s="12">
        <v>21.53</v>
      </c>
      <c r="F46" s="12">
        <v>25.27</v>
      </c>
      <c r="G46" s="12">
        <v>24.15</v>
      </c>
      <c r="H46" s="12">
        <v>23.75</v>
      </c>
      <c r="O46" s="95">
        <v>1.2999999999999999E-3</v>
      </c>
      <c r="P46" s="95">
        <v>-3.3999999999999998E-3</v>
      </c>
    </row>
    <row r="47" spans="1:25">
      <c r="A47" s="24">
        <v>44951</v>
      </c>
      <c r="B47" s="8" t="s">
        <v>25</v>
      </c>
      <c r="C47" s="12">
        <v>21.68</v>
      </c>
      <c r="D47" s="12">
        <v>21.66</v>
      </c>
      <c r="E47" s="12">
        <v>21.53</v>
      </c>
      <c r="F47" s="12">
        <v>25.27</v>
      </c>
      <c r="G47" s="12">
        <v>24.15</v>
      </c>
      <c r="H47" s="12">
        <v>23.75</v>
      </c>
      <c r="Q47" s="93">
        <v>798.7</v>
      </c>
      <c r="R47" s="93">
        <v>599.70000000000005</v>
      </c>
    </row>
    <row r="48" spans="1:25">
      <c r="A48" s="24">
        <v>44951</v>
      </c>
      <c r="B48" s="8" t="s">
        <v>599</v>
      </c>
      <c r="C48" s="12">
        <v>21.68</v>
      </c>
      <c r="D48" s="12">
        <v>21.66</v>
      </c>
      <c r="E48" s="12">
        <v>21.53</v>
      </c>
      <c r="F48" s="12">
        <v>25.27</v>
      </c>
      <c r="G48" s="12">
        <v>24.15</v>
      </c>
      <c r="H48" s="12">
        <v>23.75</v>
      </c>
      <c r="N48" s="94">
        <v>4.0321629999999997</v>
      </c>
      <c r="Q48" s="95">
        <v>154</v>
      </c>
      <c r="R48" s="95">
        <v>1044</v>
      </c>
      <c r="S48">
        <f>N48-N41</f>
        <v>3.2000000000032003E-5</v>
      </c>
    </row>
    <row r="49" spans="1:19">
      <c r="A49" s="24">
        <v>44951</v>
      </c>
      <c r="B49" s="8" t="s">
        <v>618</v>
      </c>
      <c r="C49" s="12">
        <v>21.68</v>
      </c>
      <c r="D49" s="12">
        <v>21.66</v>
      </c>
      <c r="E49" s="12">
        <v>21.53</v>
      </c>
      <c r="F49" s="12">
        <v>25.27</v>
      </c>
      <c r="G49" s="12">
        <v>24.15</v>
      </c>
      <c r="H49" s="12">
        <v>23.75</v>
      </c>
      <c r="I49" s="33">
        <v>101.5</v>
      </c>
      <c r="J49" s="33">
        <v>125.7</v>
      </c>
      <c r="K49" s="33"/>
      <c r="L49" s="12">
        <v>0.106</v>
      </c>
      <c r="M49" s="12">
        <v>6.0999999999999999E-2</v>
      </c>
      <c r="O49" s="95">
        <v>-1.1000000000000001E-3</v>
      </c>
      <c r="P49" s="95">
        <v>-0.01</v>
      </c>
    </row>
    <row r="50" spans="1:19">
      <c r="A50" s="24">
        <v>44951</v>
      </c>
      <c r="B50" s="8" t="s">
        <v>615</v>
      </c>
      <c r="C50" s="12">
        <v>21.68</v>
      </c>
      <c r="D50" s="12">
        <v>21.66</v>
      </c>
      <c r="E50" s="12">
        <v>21.53</v>
      </c>
      <c r="F50" s="12">
        <v>25.27</v>
      </c>
      <c r="G50" s="12">
        <v>24.15</v>
      </c>
      <c r="H50" s="12">
        <v>23.75</v>
      </c>
      <c r="I50" s="12">
        <v>88.69</v>
      </c>
      <c r="J50" s="12">
        <v>108.4</v>
      </c>
      <c r="L50" s="12">
        <v>0.106</v>
      </c>
      <c r="M50" s="12">
        <v>6.0999999999999999E-2</v>
      </c>
      <c r="Q50" s="95">
        <v>797.7</v>
      </c>
      <c r="R50" s="95">
        <v>600</v>
      </c>
    </row>
    <row r="51" spans="1:19">
      <c r="A51" s="24">
        <v>44951</v>
      </c>
      <c r="B51" s="8" t="s">
        <v>616</v>
      </c>
      <c r="C51" s="12">
        <v>21.68</v>
      </c>
      <c r="D51" s="12">
        <v>21.66</v>
      </c>
      <c r="E51" s="12">
        <v>21.53</v>
      </c>
      <c r="F51" s="12">
        <v>25.27</v>
      </c>
      <c r="G51" s="12">
        <v>24.15</v>
      </c>
      <c r="H51" s="12">
        <v>23.75</v>
      </c>
      <c r="I51" s="12">
        <v>69.2</v>
      </c>
      <c r="J51" s="12">
        <v>102.9</v>
      </c>
      <c r="L51" s="12">
        <v>0.106</v>
      </c>
      <c r="M51" s="12">
        <v>6.0999999999999999E-2</v>
      </c>
      <c r="N51" s="94">
        <v>3.4595750000000001</v>
      </c>
      <c r="Q51" s="95">
        <v>219</v>
      </c>
      <c r="R51" s="95">
        <v>932</v>
      </c>
      <c r="S51">
        <f>N51-N45</f>
        <v>-1.9999999998354667E-6</v>
      </c>
    </row>
    <row r="52" spans="1:19">
      <c r="A52" s="92">
        <v>44952</v>
      </c>
      <c r="B52" s="8" t="s">
        <v>25</v>
      </c>
      <c r="C52" s="12">
        <v>21.68</v>
      </c>
      <c r="D52" s="12">
        <v>21.66</v>
      </c>
      <c r="E52" s="12">
        <v>21.53</v>
      </c>
      <c r="F52" s="12">
        <v>25.27</v>
      </c>
      <c r="G52" s="12">
        <v>24.15</v>
      </c>
      <c r="H52" s="12">
        <v>23.75</v>
      </c>
      <c r="O52" s="95">
        <v>2.3999999999999998E-3</v>
      </c>
      <c r="P52" s="95">
        <v>-4.1000000000000003E-3</v>
      </c>
    </row>
    <row r="53" spans="1:19">
      <c r="A53" s="92">
        <v>44952</v>
      </c>
      <c r="B53" s="8" t="s">
        <v>25</v>
      </c>
      <c r="C53" s="12">
        <v>21.68</v>
      </c>
      <c r="D53" s="12">
        <v>21.66</v>
      </c>
      <c r="E53" s="12">
        <v>21.53</v>
      </c>
      <c r="F53" s="12">
        <v>25.27</v>
      </c>
      <c r="G53" s="12">
        <v>24.15</v>
      </c>
      <c r="H53" s="12">
        <v>23.75</v>
      </c>
      <c r="Q53" s="93">
        <v>797.6</v>
      </c>
      <c r="R53" s="93">
        <v>600.4</v>
      </c>
    </row>
    <row r="54" spans="1:19">
      <c r="A54" s="92">
        <v>44952</v>
      </c>
      <c r="B54" s="8" t="s">
        <v>599</v>
      </c>
      <c r="C54" s="12">
        <v>21.68</v>
      </c>
      <c r="D54" s="12">
        <v>21.66</v>
      </c>
      <c r="E54" s="12">
        <v>21.53</v>
      </c>
      <c r="F54" s="12">
        <v>25.27</v>
      </c>
      <c r="G54" s="12">
        <v>24.15</v>
      </c>
      <c r="H54" s="12">
        <v>23.75</v>
      </c>
      <c r="N54" s="94">
        <v>4.0322170000000002</v>
      </c>
      <c r="Q54" s="95">
        <v>150.5</v>
      </c>
      <c r="R54" s="95">
        <v>1046.5</v>
      </c>
    </row>
    <row r="55" spans="1:19">
      <c r="A55" s="92">
        <v>44952</v>
      </c>
      <c r="B55" s="8" t="s">
        <v>618</v>
      </c>
      <c r="C55" s="12">
        <v>21.68</v>
      </c>
      <c r="D55" s="12">
        <v>21.66</v>
      </c>
      <c r="E55" s="12">
        <v>21.53</v>
      </c>
      <c r="F55" s="12">
        <v>25.27</v>
      </c>
      <c r="G55" s="12">
        <v>24.15</v>
      </c>
      <c r="H55" s="12">
        <v>23.75</v>
      </c>
      <c r="I55" s="33">
        <v>101.503</v>
      </c>
      <c r="J55" s="33">
        <v>125.705</v>
      </c>
      <c r="K55" s="33"/>
      <c r="L55" s="12">
        <v>0.106</v>
      </c>
      <c r="M55" s="12">
        <v>6.0999999999999999E-2</v>
      </c>
      <c r="O55" s="95">
        <v>-1E-4</v>
      </c>
      <c r="P55" s="95">
        <v>-1.0699999999999999E-2</v>
      </c>
    </row>
    <row r="56" spans="1:19">
      <c r="A56" s="92">
        <v>44952</v>
      </c>
      <c r="B56" s="8" t="s">
        <v>615</v>
      </c>
      <c r="C56" s="12">
        <v>21.68</v>
      </c>
      <c r="D56" s="12">
        <v>21.66</v>
      </c>
      <c r="E56" s="12">
        <v>21.53</v>
      </c>
      <c r="F56" s="12">
        <v>25.27</v>
      </c>
      <c r="G56" s="12">
        <v>24.15</v>
      </c>
      <c r="H56" s="12">
        <v>23.75</v>
      </c>
      <c r="I56" s="33">
        <v>88.694999999999993</v>
      </c>
      <c r="J56" s="33">
        <v>108.398</v>
      </c>
      <c r="K56" s="33"/>
      <c r="L56" s="12">
        <v>0.106</v>
      </c>
      <c r="M56" s="12">
        <v>6.0999999999999999E-2</v>
      </c>
      <c r="Q56" s="95">
        <v>797.45</v>
      </c>
      <c r="R56" s="95">
        <v>599.70000000000005</v>
      </c>
      <c r="S56" s="41"/>
    </row>
    <row r="57" spans="1:19">
      <c r="A57" s="92">
        <v>44952</v>
      </c>
      <c r="B57" s="8" t="s">
        <v>616</v>
      </c>
      <c r="C57" s="12">
        <v>21.68</v>
      </c>
      <c r="D57" s="12">
        <v>21.66</v>
      </c>
      <c r="E57" s="12">
        <v>21.53</v>
      </c>
      <c r="F57" s="12">
        <v>25.27</v>
      </c>
      <c r="G57" s="12">
        <v>24.15</v>
      </c>
      <c r="H57" s="12">
        <v>23.75</v>
      </c>
      <c r="I57" s="33">
        <v>69.2</v>
      </c>
      <c r="J57" s="33">
        <v>102.898</v>
      </c>
      <c r="K57" s="33"/>
      <c r="L57" s="12">
        <v>0.106</v>
      </c>
      <c r="M57" s="12">
        <v>6.0999999999999999E-2</v>
      </c>
      <c r="N57" s="94">
        <v>3.459613</v>
      </c>
      <c r="Q57" s="95">
        <v>220</v>
      </c>
      <c r="R57" s="95">
        <v>933</v>
      </c>
    </row>
    <row r="58" spans="1:19">
      <c r="A58" s="92">
        <v>44952</v>
      </c>
      <c r="B58" s="8" t="s">
        <v>622</v>
      </c>
      <c r="C58" s="12">
        <v>21.68</v>
      </c>
      <c r="D58" s="12">
        <v>21.66</v>
      </c>
      <c r="E58" s="12">
        <v>21.53</v>
      </c>
      <c r="F58" s="12">
        <v>25.27</v>
      </c>
      <c r="G58" s="12">
        <v>24.15</v>
      </c>
      <c r="H58" s="12">
        <v>23.75</v>
      </c>
      <c r="O58" s="95">
        <v>2.7000000000000001E-3</v>
      </c>
      <c r="P58" s="95">
        <v>-6.4999999999999997E-3</v>
      </c>
    </row>
    <row r="59" spans="1:19">
      <c r="A59" s="92">
        <v>44952</v>
      </c>
      <c r="B59" s="8" t="s">
        <v>622</v>
      </c>
      <c r="C59" s="12">
        <v>21.68</v>
      </c>
      <c r="D59" s="12">
        <v>21.66</v>
      </c>
      <c r="E59" s="12">
        <v>21.53</v>
      </c>
      <c r="F59" s="12">
        <v>25.27</v>
      </c>
      <c r="G59" s="12">
        <v>24.15</v>
      </c>
      <c r="H59" s="12">
        <v>23.75</v>
      </c>
      <c r="Q59" s="93">
        <v>795.6</v>
      </c>
      <c r="R59" s="93">
        <v>600.70000000000005</v>
      </c>
    </row>
    <row r="60" spans="1:19">
      <c r="A60" s="92">
        <v>44952</v>
      </c>
      <c r="B60" s="8" t="s">
        <v>624</v>
      </c>
      <c r="C60" s="12">
        <v>21.68</v>
      </c>
      <c r="D60" s="12">
        <v>21.66</v>
      </c>
      <c r="E60" s="12">
        <v>21.53</v>
      </c>
      <c r="F60" s="12">
        <v>25.27</v>
      </c>
      <c r="G60" s="12">
        <v>24.15</v>
      </c>
      <c r="H60" s="12">
        <v>23.75</v>
      </c>
      <c r="N60" s="94">
        <v>4.032216</v>
      </c>
      <c r="Q60" s="95">
        <v>150</v>
      </c>
      <c r="R60" s="95">
        <v>1048</v>
      </c>
    </row>
    <row r="61" spans="1:19">
      <c r="A61" s="92">
        <v>44956</v>
      </c>
      <c r="B61" s="8" t="s">
        <v>625</v>
      </c>
      <c r="C61" s="12">
        <v>21.68</v>
      </c>
      <c r="D61" s="12">
        <v>21.66</v>
      </c>
      <c r="E61" s="12">
        <v>21.53</v>
      </c>
      <c r="F61" s="12">
        <v>25.27</v>
      </c>
      <c r="G61" s="12">
        <v>24.15</v>
      </c>
      <c r="H61" s="12">
        <v>23.75</v>
      </c>
      <c r="O61" s="93">
        <v>3.7000000000000002E-3</v>
      </c>
      <c r="P61" s="93">
        <v>-5.7999999999999996E-3</v>
      </c>
    </row>
    <row r="62" spans="1:19">
      <c r="A62" s="92">
        <v>44956</v>
      </c>
      <c r="B62" s="8" t="s">
        <v>627</v>
      </c>
      <c r="C62" s="12">
        <v>21.68</v>
      </c>
      <c r="D62" s="12">
        <v>21.66</v>
      </c>
      <c r="E62" s="12">
        <v>21.53</v>
      </c>
      <c r="F62" s="12">
        <v>25.27</v>
      </c>
      <c r="G62" s="12">
        <v>24.15</v>
      </c>
      <c r="H62" s="12">
        <v>23.75</v>
      </c>
      <c r="Q62" s="93">
        <v>795.7</v>
      </c>
      <c r="R62" s="93">
        <v>601</v>
      </c>
    </row>
    <row r="63" spans="1:19">
      <c r="A63" s="92">
        <v>44956</v>
      </c>
      <c r="B63" s="8" t="s">
        <v>599</v>
      </c>
      <c r="C63" s="12">
        <v>21.68</v>
      </c>
      <c r="D63" s="12">
        <v>21.66</v>
      </c>
      <c r="E63" s="12">
        <v>21.53</v>
      </c>
      <c r="F63" s="12">
        <v>25.27</v>
      </c>
      <c r="G63" s="12">
        <v>24.15</v>
      </c>
      <c r="H63" s="12">
        <v>23.75</v>
      </c>
      <c r="N63" s="94">
        <v>4.0321280000000002</v>
      </c>
      <c r="Q63" s="95">
        <v>150</v>
      </c>
      <c r="R63" s="95">
        <v>1047</v>
      </c>
    </row>
    <row r="64" spans="1:19">
      <c r="A64" s="92">
        <v>44956</v>
      </c>
      <c r="B64" s="8" t="s">
        <v>618</v>
      </c>
      <c r="C64" s="12">
        <v>21.68</v>
      </c>
      <c r="D64" s="12">
        <v>21.66</v>
      </c>
      <c r="E64" s="12">
        <v>21.53</v>
      </c>
      <c r="F64" s="12">
        <v>25.27</v>
      </c>
      <c r="G64" s="12">
        <v>24.15</v>
      </c>
      <c r="H64" s="12">
        <v>23.75</v>
      </c>
      <c r="I64" s="33">
        <v>101.503</v>
      </c>
      <c r="J64" s="33">
        <v>125.705</v>
      </c>
      <c r="K64" s="33"/>
      <c r="L64" s="12">
        <v>0.106</v>
      </c>
      <c r="M64" s="12">
        <v>6.0999999999999999E-2</v>
      </c>
      <c r="O64" s="95">
        <v>-1E-4</v>
      </c>
      <c r="P64" s="95">
        <v>-1.04E-2</v>
      </c>
    </row>
    <row r="65" spans="1:29">
      <c r="A65" s="92">
        <v>44956</v>
      </c>
      <c r="B65" s="8" t="s">
        <v>615</v>
      </c>
      <c r="C65" s="12">
        <v>21.68</v>
      </c>
      <c r="D65" s="12">
        <v>21.66</v>
      </c>
      <c r="E65" s="12">
        <v>21.53</v>
      </c>
      <c r="F65" s="12">
        <v>25.27</v>
      </c>
      <c r="G65" s="12">
        <v>24.15</v>
      </c>
      <c r="H65" s="12">
        <v>23.75</v>
      </c>
      <c r="I65" s="33">
        <v>88.594999999999999</v>
      </c>
      <c r="J65" s="33">
        <v>108.4</v>
      </c>
      <c r="K65" s="33"/>
      <c r="L65" s="12">
        <v>0.106</v>
      </c>
      <c r="M65" s="12">
        <v>6.0999999999999999E-2</v>
      </c>
      <c r="Q65" s="95">
        <v>795.7</v>
      </c>
      <c r="R65" s="95">
        <v>601.1</v>
      </c>
      <c r="S65" s="41"/>
    </row>
    <row r="66" spans="1:29">
      <c r="A66" s="92">
        <v>44956</v>
      </c>
      <c r="B66" s="8" t="s">
        <v>616</v>
      </c>
      <c r="C66" s="12">
        <v>21.68</v>
      </c>
      <c r="D66" s="12">
        <v>21.66</v>
      </c>
      <c r="E66" s="12">
        <v>21.53</v>
      </c>
      <c r="F66" s="12">
        <v>25.27</v>
      </c>
      <c r="G66" s="12">
        <v>24.15</v>
      </c>
      <c r="H66" s="12">
        <v>23.75</v>
      </c>
      <c r="I66" s="33">
        <v>69.2</v>
      </c>
      <c r="J66" s="33">
        <v>102.9</v>
      </c>
      <c r="K66" s="33"/>
      <c r="L66" s="12">
        <v>0.106</v>
      </c>
      <c r="M66" s="12">
        <v>6.0999999999999999E-2</v>
      </c>
      <c r="N66" s="94">
        <v>3.459581</v>
      </c>
      <c r="Q66" s="95">
        <v>220</v>
      </c>
      <c r="R66" s="95">
        <v>931</v>
      </c>
    </row>
    <row r="67" spans="1:29">
      <c r="A67" s="92">
        <v>44956</v>
      </c>
      <c r="B67" s="8" t="s">
        <v>622</v>
      </c>
      <c r="C67" s="12">
        <v>21.68</v>
      </c>
      <c r="D67" s="12">
        <v>21.66</v>
      </c>
      <c r="E67" s="12">
        <v>21.53</v>
      </c>
      <c r="F67" s="12">
        <v>25.27</v>
      </c>
      <c r="G67" s="12">
        <v>24.15</v>
      </c>
      <c r="H67" s="12">
        <v>23.75</v>
      </c>
      <c r="O67" s="95">
        <v>2.3999999999999998E-3</v>
      </c>
      <c r="P67" s="95">
        <v>-6.4999999999999997E-3</v>
      </c>
    </row>
    <row r="68" spans="1:29">
      <c r="A68" s="92">
        <v>44956</v>
      </c>
      <c r="B68" s="8" t="s">
        <v>622</v>
      </c>
      <c r="C68" s="12">
        <v>21.68</v>
      </c>
      <c r="D68" s="12">
        <v>21.66</v>
      </c>
      <c r="E68" s="12">
        <v>21.53</v>
      </c>
      <c r="F68" s="12">
        <v>25.27</v>
      </c>
      <c r="G68" s="12">
        <v>24.15</v>
      </c>
      <c r="H68" s="12">
        <v>23.75</v>
      </c>
      <c r="O68" s="95"/>
      <c r="P68" s="95"/>
      <c r="Q68" s="95">
        <v>795.6</v>
      </c>
      <c r="R68" s="95">
        <v>600.70000000000005</v>
      </c>
    </row>
    <row r="69" spans="1:29">
      <c r="A69" s="92">
        <v>44956</v>
      </c>
      <c r="B69" s="8" t="s">
        <v>624</v>
      </c>
      <c r="C69" s="12">
        <v>21.68</v>
      </c>
      <c r="D69" s="12">
        <v>21.66</v>
      </c>
      <c r="E69" s="12">
        <v>21.53</v>
      </c>
      <c r="F69" s="12">
        <v>25.27</v>
      </c>
      <c r="G69" s="12">
        <v>24.15</v>
      </c>
      <c r="H69" s="12">
        <v>23.75</v>
      </c>
      <c r="N69" s="94">
        <v>4.0321800000000003</v>
      </c>
      <c r="Q69" s="95">
        <v>148</v>
      </c>
      <c r="R69" s="95">
        <v>1046</v>
      </c>
    </row>
    <row r="70" spans="1:29">
      <c r="A70" s="92">
        <v>44957</v>
      </c>
      <c r="B70" s="8" t="s">
        <v>625</v>
      </c>
      <c r="C70" s="12">
        <v>21.68</v>
      </c>
      <c r="D70" s="12">
        <v>21.66</v>
      </c>
      <c r="E70" s="12">
        <v>21.53</v>
      </c>
      <c r="F70" s="12">
        <v>25.27</v>
      </c>
      <c r="G70" s="12">
        <v>24.15</v>
      </c>
      <c r="H70" s="12">
        <v>23.75</v>
      </c>
      <c r="O70" s="93">
        <v>1.6999999999999999E-3</v>
      </c>
      <c r="P70" s="93">
        <v>-4.7999999999999996E-3</v>
      </c>
    </row>
    <row r="71" spans="1:29">
      <c r="A71" s="92">
        <v>44957</v>
      </c>
      <c r="B71" s="8" t="s">
        <v>627</v>
      </c>
      <c r="C71" s="12">
        <v>21.68</v>
      </c>
      <c r="D71" s="12">
        <v>21.66</v>
      </c>
      <c r="E71" s="12">
        <v>21.53</v>
      </c>
      <c r="F71" s="12">
        <v>25.27</v>
      </c>
      <c r="G71" s="12">
        <v>24.15</v>
      </c>
      <c r="H71" s="12">
        <v>23.75</v>
      </c>
      <c r="Q71" s="93">
        <v>796</v>
      </c>
      <c r="R71" s="93">
        <v>599.9</v>
      </c>
    </row>
    <row r="72" spans="1:29">
      <c r="A72" s="92">
        <v>44957</v>
      </c>
      <c r="B72" s="8" t="s">
        <v>599</v>
      </c>
      <c r="C72" s="12">
        <v>21.68</v>
      </c>
      <c r="D72" s="12">
        <v>21.66</v>
      </c>
      <c r="E72" s="12">
        <v>21.53</v>
      </c>
      <c r="F72" s="12">
        <v>25.27</v>
      </c>
      <c r="G72" s="12">
        <v>24.15</v>
      </c>
      <c r="H72" s="12">
        <v>23.75</v>
      </c>
      <c r="N72" s="94">
        <v>4.0322009999999997</v>
      </c>
      <c r="Q72" s="95">
        <v>148</v>
      </c>
      <c r="R72" s="95">
        <v>1046</v>
      </c>
    </row>
    <row r="73" spans="1:29">
      <c r="A73" s="92">
        <v>44958</v>
      </c>
      <c r="B73" s="8" t="s">
        <v>31</v>
      </c>
      <c r="C73" s="12">
        <v>21.68</v>
      </c>
      <c r="D73" s="12">
        <v>21.66</v>
      </c>
      <c r="E73" s="12">
        <v>21.53</v>
      </c>
      <c r="F73" s="12">
        <v>25.27</v>
      </c>
      <c r="G73" s="12">
        <v>24.15</v>
      </c>
      <c r="H73" s="12">
        <v>23.75</v>
      </c>
      <c r="I73" s="33">
        <v>101.5</v>
      </c>
      <c r="J73" s="33">
        <v>125.7</v>
      </c>
      <c r="K73" s="33"/>
      <c r="L73" s="12">
        <v>0.105</v>
      </c>
      <c r="M73" s="12">
        <v>6.0999999999999999E-2</v>
      </c>
      <c r="O73" s="95">
        <v>5.9999999999999995E-4</v>
      </c>
      <c r="P73" s="95">
        <v>1.2E-2</v>
      </c>
    </row>
    <row r="74" spans="1:29">
      <c r="A74" s="92">
        <v>44958</v>
      </c>
      <c r="B74" s="8" t="s">
        <v>615</v>
      </c>
      <c r="C74" s="12">
        <v>21.68</v>
      </c>
      <c r="D74" s="12">
        <v>21.66</v>
      </c>
      <c r="E74" s="12">
        <v>21.53</v>
      </c>
      <c r="F74" s="12">
        <v>25.27</v>
      </c>
      <c r="G74" s="12">
        <v>24.15</v>
      </c>
      <c r="H74" s="12">
        <v>23.75</v>
      </c>
      <c r="I74" s="33">
        <v>88.7</v>
      </c>
      <c r="J74" s="33">
        <v>108.5</v>
      </c>
      <c r="K74" s="33"/>
      <c r="L74" s="12">
        <v>0.105</v>
      </c>
      <c r="M74" s="12">
        <v>6.0999999999999999E-2</v>
      </c>
      <c r="Q74" s="95">
        <v>795.8</v>
      </c>
      <c r="R74" s="95">
        <v>599.79999999999995</v>
      </c>
      <c r="S74" s="41"/>
    </row>
    <row r="75" spans="1:29" ht="15" thickBot="1">
      <c r="A75" s="92">
        <v>44958</v>
      </c>
      <c r="B75" s="8" t="s">
        <v>616</v>
      </c>
      <c r="C75" s="12">
        <v>21.68</v>
      </c>
      <c r="D75" s="12">
        <v>21.66</v>
      </c>
      <c r="E75" s="12">
        <v>21.53</v>
      </c>
      <c r="F75" s="12">
        <v>25.27</v>
      </c>
      <c r="G75" s="12">
        <v>24.15</v>
      </c>
      <c r="H75" s="12">
        <v>23.75</v>
      </c>
      <c r="I75" s="33">
        <v>69.2</v>
      </c>
      <c r="J75" s="33">
        <v>102.9</v>
      </c>
      <c r="K75" s="33"/>
      <c r="L75" s="12">
        <v>0.105</v>
      </c>
      <c r="M75" s="12">
        <v>6.0999999999999999E-2</v>
      </c>
      <c r="N75" s="94">
        <v>3.4595250000000002</v>
      </c>
      <c r="Q75" s="95">
        <v>218</v>
      </c>
      <c r="R75" s="95">
        <v>934</v>
      </c>
    </row>
    <row r="76" spans="1:29">
      <c r="A76" s="92">
        <v>44959</v>
      </c>
      <c r="B76" s="8" t="s">
        <v>625</v>
      </c>
      <c r="C76" s="12">
        <v>21.68</v>
      </c>
      <c r="D76" s="12">
        <v>21.66</v>
      </c>
      <c r="E76" s="12">
        <v>21.53</v>
      </c>
      <c r="F76" s="12">
        <v>25.27</v>
      </c>
      <c r="G76" s="12">
        <v>24.15</v>
      </c>
      <c r="H76" s="12">
        <v>23.75</v>
      </c>
      <c r="I76" s="12">
        <v>250</v>
      </c>
      <c r="J76" s="12">
        <v>-65</v>
      </c>
      <c r="K76" s="12">
        <v>-60.001199999999997</v>
      </c>
      <c r="L76" s="12">
        <v>-2.9999999999999997E-4</v>
      </c>
      <c r="M76" s="12">
        <v>2.9999999999999997E-4</v>
      </c>
      <c r="O76" s="96">
        <v>4.7999999999999996E-3</v>
      </c>
      <c r="P76" s="96">
        <v>-4.7999999999999996E-3</v>
      </c>
      <c r="T76" s="42" t="s">
        <v>906</v>
      </c>
      <c r="U76" s="43">
        <f>AVERAGE(O76,O70,O61,O67,O58,O52,O46,O40)</f>
        <v>2.3249999999999998E-3</v>
      </c>
      <c r="V76" s="43">
        <f>AVERAGE(P76,P70,P61,P67,P58,P52,P46,P40)</f>
        <v>-5.1124999999999999E-3</v>
      </c>
      <c r="W76" s="44" t="s">
        <v>907</v>
      </c>
      <c r="X76" s="45">
        <f>STDEV(O76,O70,O61,O67,O58,O52,O46,O40)*3600</f>
        <v>5.6159670328702713</v>
      </c>
      <c r="Y76" s="46">
        <f>STDEV(P76,P70,P61,P67,P58,P52,P46,P40)*3600</f>
        <v>3.9643806938428958</v>
      </c>
    </row>
    <row r="77" spans="1:29">
      <c r="A77" s="92">
        <v>44959</v>
      </c>
      <c r="B77" s="8" t="s">
        <v>634</v>
      </c>
      <c r="C77" s="12">
        <v>21.68</v>
      </c>
      <c r="D77" s="12">
        <v>21.66</v>
      </c>
      <c r="E77" s="12">
        <v>21.53</v>
      </c>
      <c r="F77" s="12">
        <v>25.27</v>
      </c>
      <c r="G77" s="12">
        <v>24.15</v>
      </c>
      <c r="H77" s="12">
        <v>23.75</v>
      </c>
      <c r="I77" s="12">
        <v>250</v>
      </c>
      <c r="J77" s="12">
        <v>-65</v>
      </c>
      <c r="K77" s="12">
        <v>-60.001199999999997</v>
      </c>
      <c r="L77" s="12">
        <v>-2.9999999999999997E-4</v>
      </c>
      <c r="M77" s="12">
        <v>2.9999999999999997E-4</v>
      </c>
      <c r="O77" s="97"/>
      <c r="P77" s="97"/>
      <c r="Q77" s="93">
        <v>795.72400000000005</v>
      </c>
      <c r="R77" s="93">
        <v>601.92100000000005</v>
      </c>
      <c r="T77" s="47" t="s">
        <v>908</v>
      </c>
      <c r="U77" s="48">
        <f>AVERAGE(Q77,Q71,Q62,Q68,Q59,Q53,Q47,Q40)</f>
        <v>796.46550000000002</v>
      </c>
      <c r="V77" s="48">
        <f>AVERAGE(R77,R71,R62,R68,R59,R53,R47,R40)</f>
        <v>600.41512499999999</v>
      </c>
      <c r="W77" s="49" t="s">
        <v>909</v>
      </c>
      <c r="X77" s="48">
        <f>STDEV(Q77,Q71,Q62,Q68,Q59,Q53,Q47,Q40)</f>
        <v>1.1490775182106487</v>
      </c>
      <c r="Y77" s="50">
        <f>STDEV(R77,R71,R62,R68,R59,R53,R47,R40)</f>
        <v>0.89055447214483496</v>
      </c>
    </row>
    <row r="78" spans="1:29">
      <c r="A78" s="92">
        <v>44959</v>
      </c>
      <c r="B78" s="8" t="s">
        <v>635</v>
      </c>
      <c r="C78" s="12">
        <v>21.68</v>
      </c>
      <c r="D78" s="12">
        <v>21.66</v>
      </c>
      <c r="E78" s="12">
        <v>21.53</v>
      </c>
      <c r="F78" s="12">
        <v>25.27</v>
      </c>
      <c r="G78" s="12">
        <v>24.15</v>
      </c>
      <c r="H78" s="12">
        <v>23.75</v>
      </c>
      <c r="I78" s="12">
        <v>250</v>
      </c>
      <c r="J78" s="12">
        <v>-65</v>
      </c>
      <c r="K78" s="12">
        <v>-60.001199999999997</v>
      </c>
      <c r="L78" s="12">
        <v>-2.9999999999999997E-4</v>
      </c>
      <c r="M78" s="12">
        <v>2.9999999999999997E-4</v>
      </c>
      <c r="N78" s="94">
        <v>4.0321220000000002</v>
      </c>
      <c r="O78" s="97"/>
      <c r="P78" s="97"/>
      <c r="Q78" s="95">
        <v>151</v>
      </c>
      <c r="R78" s="95">
        <v>1049</v>
      </c>
      <c r="T78" s="47" t="s">
        <v>910</v>
      </c>
      <c r="U78" s="51">
        <f>AVERAGE(N78,N72,N63,N69,N60,N54,N48,Q41)</f>
        <v>4.0321752857142856</v>
      </c>
      <c r="V78" s="52"/>
      <c r="W78" s="53" t="s">
        <v>911</v>
      </c>
      <c r="X78" s="48">
        <f>STDEV(N78,N72,N63,N69,N60,N54,N48,N41)*1000000</f>
        <v>39.683569827899795</v>
      </c>
      <c r="Y78" s="54"/>
    </row>
    <row r="79" spans="1:29" ht="21.6">
      <c r="A79" s="92">
        <v>44959</v>
      </c>
      <c r="B79" s="8" t="s">
        <v>628</v>
      </c>
      <c r="C79" s="12">
        <v>21.68</v>
      </c>
      <c r="D79" s="12">
        <v>21.66</v>
      </c>
      <c r="E79" s="12">
        <v>21.53</v>
      </c>
      <c r="F79" s="12">
        <v>25.27</v>
      </c>
      <c r="G79" s="12">
        <v>24.15</v>
      </c>
      <c r="H79" s="12">
        <v>23.75</v>
      </c>
      <c r="I79" s="33">
        <v>101.501</v>
      </c>
      <c r="J79" s="33">
        <v>125.703</v>
      </c>
      <c r="K79" s="12">
        <v>3.3999999999999998E-3</v>
      </c>
      <c r="L79" s="12">
        <v>0.10546999999999999</v>
      </c>
      <c r="M79" s="12">
        <v>6.164E-2</v>
      </c>
      <c r="O79" s="98">
        <v>-1E-4</v>
      </c>
      <c r="P79" s="98">
        <v>-1.0999999999999999E-2</v>
      </c>
      <c r="T79" s="47" t="s">
        <v>912</v>
      </c>
      <c r="U79" s="52">
        <f>AVERAGE(O79,O64,O55,O49,O43)</f>
        <v>-5.0000000000000012E-4</v>
      </c>
      <c r="V79" s="52">
        <f>AVERAGE(P79,P64,P55,P49,P43)</f>
        <v>-1.056E-2</v>
      </c>
      <c r="W79" s="53" t="s">
        <v>907</v>
      </c>
      <c r="X79" s="48">
        <f>STDEV(O79,O64,O55,O49,O43)*3600</f>
        <v>1.971801207018598</v>
      </c>
      <c r="Y79" s="50">
        <f>STDEV(P79,P64,P55,P49,P43)*3600</f>
        <v>1.3613522688856095</v>
      </c>
      <c r="Z79" s="765" t="s">
        <v>913</v>
      </c>
      <c r="AA79" s="765"/>
      <c r="AB79" s="765"/>
      <c r="AC79" s="765"/>
    </row>
    <row r="80" spans="1:29">
      <c r="A80" s="92">
        <v>44959</v>
      </c>
      <c r="B80" s="8" t="s">
        <v>615</v>
      </c>
      <c r="C80" s="12">
        <v>21.68</v>
      </c>
      <c r="D80" s="12">
        <v>21.66</v>
      </c>
      <c r="E80" s="12">
        <v>21.53</v>
      </c>
      <c r="F80" s="12">
        <v>25.27</v>
      </c>
      <c r="G80" s="12">
        <v>24.15</v>
      </c>
      <c r="H80" s="12">
        <v>23.75</v>
      </c>
      <c r="I80" s="33">
        <v>88.596000000000004</v>
      </c>
      <c r="J80" s="33">
        <v>108.399</v>
      </c>
      <c r="K80" s="12">
        <v>5.0000000000000001E-4</v>
      </c>
      <c r="L80" s="12">
        <v>0.10556</v>
      </c>
      <c r="M80" s="12">
        <v>6.1699999999999998E-2</v>
      </c>
      <c r="Q80" s="95">
        <v>795.70699999999999</v>
      </c>
      <c r="R80" s="95">
        <v>601.77099999999996</v>
      </c>
      <c r="S80" s="41"/>
      <c r="T80" s="47" t="s">
        <v>914</v>
      </c>
      <c r="U80" s="48">
        <f>AVERAGE(Q80,Q74,Q65,Q56,Q50,Q44)</f>
        <v>796.52616666666665</v>
      </c>
      <c r="V80" s="48">
        <f>AVERAGE(R80,R74,R65,R56,R50,R44)</f>
        <v>600.16183333333333</v>
      </c>
      <c r="W80" s="49" t="s">
        <v>909</v>
      </c>
      <c r="X80" s="48">
        <f>STDEV(Q80,Q74,Q65,Q56,Q50,Q44)</f>
        <v>0.91512194087274523</v>
      </c>
      <c r="Y80" s="50">
        <f>STDEV(R80,R74,R65,R56,R50,R44)</f>
        <v>1.1206516705322096</v>
      </c>
    </row>
    <row r="81" spans="1:25" ht="15" thickBot="1">
      <c r="A81" s="92">
        <v>44959</v>
      </c>
      <c r="B81" s="8" t="s">
        <v>616</v>
      </c>
      <c r="C81" s="12">
        <v>21.68</v>
      </c>
      <c r="D81" s="12">
        <v>21.66</v>
      </c>
      <c r="E81" s="12">
        <v>21.53</v>
      </c>
      <c r="F81" s="12">
        <v>25.27</v>
      </c>
      <c r="G81" s="12">
        <v>24.15</v>
      </c>
      <c r="H81" s="12">
        <v>23.75</v>
      </c>
      <c r="I81" s="33">
        <v>69.200199999999995</v>
      </c>
      <c r="J81" s="33">
        <v>102.898</v>
      </c>
      <c r="K81" s="12">
        <v>-9.7999999999999997E-4</v>
      </c>
      <c r="L81" s="12">
        <v>0.105963</v>
      </c>
      <c r="M81" s="12">
        <v>6.1069999999999999E-2</v>
      </c>
      <c r="N81" s="99">
        <v>3.4595530000000001</v>
      </c>
      <c r="Q81" s="95">
        <v>220</v>
      </c>
      <c r="R81" s="95">
        <v>931</v>
      </c>
      <c r="T81" s="56" t="s">
        <v>915</v>
      </c>
      <c r="U81" s="57">
        <f>AVERAGE(N81,N75,N66,N57,N51,N45)</f>
        <v>3.4595706666666666</v>
      </c>
      <c r="V81" s="58"/>
      <c r="W81" s="59" t="s">
        <v>911</v>
      </c>
      <c r="X81" s="61">
        <f>STDEV(N81,N75,N66,N57,N51,N45)*1000000</f>
        <v>29.513838561992969</v>
      </c>
      <c r="Y81" s="60"/>
    </row>
    <row r="82" spans="1:25" ht="15" thickBot="1">
      <c r="A82" s="92"/>
      <c r="O82" s="96"/>
      <c r="P82" s="96"/>
    </row>
    <row r="83" spans="1:25">
      <c r="A83" s="92"/>
      <c r="O83" s="97"/>
      <c r="P83" s="97"/>
      <c r="Q83" s="93"/>
      <c r="R83" s="93"/>
      <c r="T83" s="62" t="s">
        <v>916</v>
      </c>
      <c r="U83" s="63">
        <f>AVERAGE(O76,O70,O61,O52,O46,O40)</f>
        <v>2.2499999999999998E-3</v>
      </c>
      <c r="V83" s="63">
        <f>AVERAGE(P76,P70,P61,P52,P46,P40)</f>
        <v>-4.6500000000000005E-3</v>
      </c>
      <c r="W83" s="64" t="s">
        <v>907</v>
      </c>
      <c r="X83" s="65">
        <f>STDEV(O76,O70,O61,O52,O46,O40)*3600</f>
        <v>6.6097019599978939</v>
      </c>
      <c r="Y83" s="66">
        <f>STDEV(P76,P70,P61,P52,P46,P40)*3600</f>
        <v>2.9489252279432243</v>
      </c>
    </row>
    <row r="84" spans="1:25">
      <c r="A84" s="92"/>
      <c r="N84" s="94"/>
      <c r="O84" s="97"/>
      <c r="P84" s="97"/>
      <c r="Q84" s="95"/>
      <c r="R84" s="95"/>
      <c r="T84" s="67" t="s">
        <v>917</v>
      </c>
      <c r="U84" s="68">
        <f>AVERAGE(Q77,Q71,Q62,Q53,Q47,Q40)</f>
        <v>796.75400000000002</v>
      </c>
      <c r="V84" s="68">
        <f>AVERAGE(R77,R71,R62,R53,R47,R40)</f>
        <v>600.32016666666675</v>
      </c>
      <c r="W84" s="69" t="s">
        <v>909</v>
      </c>
      <c r="X84" s="68">
        <f>STDEV(Q77,Q71,Q62,Q53,Q47,Q40)</f>
        <v>1.203750804776472</v>
      </c>
      <c r="Y84" s="70">
        <f>STDEV(R77,R71,R62,R53,R47,R40)</f>
        <v>1.0329763630725972</v>
      </c>
    </row>
    <row r="85" spans="1:25">
      <c r="A85" s="92"/>
      <c r="I85" s="33"/>
      <c r="J85" s="33"/>
      <c r="O85" s="98"/>
      <c r="P85" s="98"/>
      <c r="T85" s="67" t="s">
        <v>918</v>
      </c>
      <c r="U85" s="71">
        <f>AVERAGE($N$78,$N$72,$N$63,$N$54,$N$48,$N$41)</f>
        <v>4.0321603333333336</v>
      </c>
      <c r="V85" s="72"/>
      <c r="W85" s="73" t="s">
        <v>911</v>
      </c>
      <c r="X85" s="68">
        <f>STDEV($N$78,$N$72,$N$63,$N$54,$N$48,$N$41)*1000000</f>
        <v>40.613626613043088</v>
      </c>
      <c r="Y85" s="74"/>
    </row>
    <row r="86" spans="1:25">
      <c r="A86" s="92"/>
      <c r="I86" s="33"/>
      <c r="J86" s="33"/>
      <c r="Q86" s="95"/>
      <c r="R86" s="95"/>
      <c r="T86" s="55"/>
      <c r="Y86" s="54"/>
    </row>
    <row r="87" spans="1:25">
      <c r="A87" s="92"/>
      <c r="I87" s="33"/>
      <c r="J87" s="33"/>
      <c r="N87" s="99"/>
      <c r="Q87" s="95"/>
      <c r="R87" s="95"/>
      <c r="T87" s="75" t="s">
        <v>919</v>
      </c>
      <c r="U87" s="76">
        <f>AVERAGE(O67,O58)</f>
        <v>2.5500000000000002E-3</v>
      </c>
      <c r="V87" s="76">
        <f>AVERAGE(P67,P58)</f>
        <v>-6.4999999999999997E-3</v>
      </c>
      <c r="W87" s="77" t="s">
        <v>920</v>
      </c>
      <c r="X87" s="78">
        <f>(U87-U83)*3600</f>
        <v>1.0800000000000012</v>
      </c>
      <c r="Y87" s="79">
        <f>(V87-V83)*3600</f>
        <v>-6.6599999999999975</v>
      </c>
    </row>
    <row r="88" spans="1:25">
      <c r="A88" s="92"/>
      <c r="I88" s="33"/>
      <c r="J88" s="33"/>
      <c r="O88" s="98"/>
      <c r="P88" s="98"/>
      <c r="T88" s="75" t="s">
        <v>921</v>
      </c>
      <c r="U88" s="78">
        <f>AVERAGE(Q68,Q59)</f>
        <v>795.6</v>
      </c>
      <c r="V88" s="78">
        <f>AVERAGE(R68,R59)</f>
        <v>600.70000000000005</v>
      </c>
      <c r="W88" s="77" t="s">
        <v>922</v>
      </c>
      <c r="X88" s="78">
        <f>U88-U84</f>
        <v>-1.1539999999999964</v>
      </c>
      <c r="Y88" s="79">
        <f>V88-V84</f>
        <v>0.37983333333329483</v>
      </c>
    </row>
    <row r="89" spans="1:25" ht="15" thickBot="1">
      <c r="A89" s="92"/>
      <c r="I89" s="33"/>
      <c r="J89" s="33"/>
      <c r="Q89" s="95"/>
      <c r="R89" s="95"/>
      <c r="T89" s="80" t="s">
        <v>923</v>
      </c>
      <c r="U89" s="81">
        <f>AVERAGE(N69,N60)</f>
        <v>4.0321980000000002</v>
      </c>
      <c r="V89" s="82"/>
      <c r="W89" s="83" t="s">
        <v>924</v>
      </c>
      <c r="X89" s="84">
        <f>(U89-U85)*1000000</f>
        <v>37.666666666602566</v>
      </c>
      <c r="Y89" s="85"/>
    </row>
    <row r="90" spans="1:25">
      <c r="A90" s="92"/>
      <c r="I90" s="33"/>
      <c r="J90" s="33"/>
      <c r="N90" s="99"/>
      <c r="Q90" s="95"/>
      <c r="R90" s="95"/>
    </row>
  </sheetData>
  <mergeCells count="4">
    <mergeCell ref="C1:D1"/>
    <mergeCell ref="E1:F1"/>
    <mergeCell ref="G1:H1"/>
    <mergeCell ref="Z79:AC79"/>
  </mergeCells>
  <pageMargins left="0" right="0" top="0.75" bottom="0.75" header="0.3" footer="0.3"/>
  <pageSetup scale="83"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9AB82B-E4F7-4B42-8008-392EAD4149FD}">
  <dimension ref="A1:V42"/>
  <sheetViews>
    <sheetView topLeftCell="B1" workbookViewId="0">
      <selection activeCell="I20" sqref="I20"/>
    </sheetView>
  </sheetViews>
  <sheetFormatPr defaultColWidth="8.7109375" defaultRowHeight="14.45"/>
  <sheetData>
    <row r="1" spans="1:14">
      <c r="A1" s="34" t="s">
        <v>0</v>
      </c>
      <c r="B1" s="34" t="s">
        <v>375</v>
      </c>
      <c r="C1" s="766" t="s">
        <v>6</v>
      </c>
      <c r="D1" s="766"/>
      <c r="E1" s="766" t="s">
        <v>7</v>
      </c>
      <c r="F1" s="766"/>
      <c r="G1" s="766" t="s">
        <v>8</v>
      </c>
      <c r="H1" s="766"/>
      <c r="I1" s="702" t="s">
        <v>14</v>
      </c>
      <c r="J1" s="702" t="s">
        <v>17</v>
      </c>
      <c r="K1" s="36" t="s">
        <v>420</v>
      </c>
      <c r="L1" s="36" t="s">
        <v>421</v>
      </c>
      <c r="M1" s="34" t="s">
        <v>422</v>
      </c>
      <c r="N1" s="34" t="s">
        <v>423</v>
      </c>
    </row>
    <row r="2" spans="1:14">
      <c r="A2" s="92">
        <v>44965</v>
      </c>
      <c r="B2" s="8"/>
      <c r="C2" s="12">
        <v>21.71</v>
      </c>
      <c r="D2" s="12">
        <v>23.42</v>
      </c>
      <c r="E2" s="12">
        <v>21.13</v>
      </c>
      <c r="F2" s="12">
        <v>24.5</v>
      </c>
      <c r="G2" s="12">
        <v>24.12</v>
      </c>
      <c r="H2" s="12">
        <v>23.77</v>
      </c>
      <c r="I2" s="12"/>
      <c r="J2" s="12"/>
      <c r="K2" s="4">
        <v>0.32</v>
      </c>
      <c r="L2" s="4">
        <v>3.4000000000000002E-2</v>
      </c>
      <c r="M2" s="4">
        <v>787</v>
      </c>
      <c r="N2" s="4">
        <v>625</v>
      </c>
    </row>
    <row r="3" spans="1:14">
      <c r="A3" s="92">
        <v>44965</v>
      </c>
      <c r="B3" s="8"/>
      <c r="C3" s="12">
        <v>21.71</v>
      </c>
      <c r="D3" s="12">
        <v>23.42</v>
      </c>
      <c r="E3" s="12">
        <v>21.13</v>
      </c>
      <c r="F3" s="12">
        <v>25</v>
      </c>
      <c r="G3" s="12"/>
      <c r="H3" s="12"/>
      <c r="I3" s="12"/>
      <c r="J3" s="12"/>
      <c r="K3" s="4">
        <v>0.1</v>
      </c>
      <c r="L3" s="4">
        <v>0.01</v>
      </c>
      <c r="M3" s="4">
        <v>801</v>
      </c>
      <c r="N3" s="4">
        <v>612</v>
      </c>
    </row>
    <row r="4" spans="1:14">
      <c r="C4" s="12">
        <v>21.91</v>
      </c>
      <c r="D4" s="12">
        <v>23.42</v>
      </c>
      <c r="E4" s="12">
        <v>21.13</v>
      </c>
      <c r="F4" s="12">
        <v>25.2</v>
      </c>
      <c r="I4" t="s">
        <v>731</v>
      </c>
      <c r="K4">
        <v>0.15</v>
      </c>
      <c r="L4">
        <v>0.01</v>
      </c>
      <c r="M4">
        <v>802</v>
      </c>
      <c r="N4">
        <v>637</v>
      </c>
    </row>
    <row r="5" spans="1:14">
      <c r="C5" s="12">
        <v>21.91</v>
      </c>
      <c r="D5" s="12">
        <v>23.42</v>
      </c>
      <c r="E5" s="12">
        <v>21.13</v>
      </c>
      <c r="F5" s="12">
        <v>25.1</v>
      </c>
      <c r="K5">
        <v>-8.0000000000000002E-3</v>
      </c>
      <c r="L5">
        <v>8.6999999999999994E-3</v>
      </c>
      <c r="M5">
        <v>800</v>
      </c>
      <c r="N5">
        <v>509</v>
      </c>
    </row>
    <row r="6" spans="1:14">
      <c r="C6">
        <v>21.81</v>
      </c>
      <c r="D6" s="12">
        <v>23.42</v>
      </c>
      <c r="E6" s="12">
        <v>21.13</v>
      </c>
      <c r="F6">
        <v>25</v>
      </c>
      <c r="K6">
        <v>-0.04</v>
      </c>
      <c r="L6">
        <v>0.01</v>
      </c>
    </row>
    <row r="7" spans="1:14">
      <c r="C7">
        <v>21.81</v>
      </c>
      <c r="D7" s="12">
        <v>23.42</v>
      </c>
      <c r="E7" s="12">
        <v>21.13</v>
      </c>
      <c r="F7">
        <v>25.02</v>
      </c>
      <c r="K7">
        <v>-0.02</v>
      </c>
      <c r="L7">
        <v>0.01</v>
      </c>
    </row>
    <row r="8" spans="1:14" s="6" customFormat="1">
      <c r="C8" s="6">
        <v>21.81</v>
      </c>
      <c r="D8" s="12">
        <v>23.42</v>
      </c>
      <c r="E8" s="12">
        <v>21.13</v>
      </c>
      <c r="F8" s="6">
        <v>25.03</v>
      </c>
      <c r="K8" s="6">
        <v>0</v>
      </c>
      <c r="L8" s="6">
        <v>0</v>
      </c>
      <c r="N8" s="6">
        <v>516</v>
      </c>
    </row>
    <row r="9" spans="1:14">
      <c r="C9">
        <v>21.34</v>
      </c>
      <c r="D9" s="12">
        <v>23.42</v>
      </c>
      <c r="E9" s="12">
        <v>21.13</v>
      </c>
      <c r="F9">
        <v>24.73</v>
      </c>
      <c r="N9">
        <v>675</v>
      </c>
    </row>
    <row r="10" spans="1:14">
      <c r="C10">
        <v>21.38</v>
      </c>
      <c r="D10" s="12">
        <v>23.42</v>
      </c>
      <c r="E10" s="12">
        <v>21.13</v>
      </c>
      <c r="F10">
        <v>24.73</v>
      </c>
      <c r="K10">
        <v>0.09</v>
      </c>
      <c r="L10">
        <v>1.7000000000000001E-2</v>
      </c>
      <c r="N10">
        <v>625</v>
      </c>
    </row>
    <row r="11" spans="1:14">
      <c r="D11" s="12">
        <v>23.42</v>
      </c>
      <c r="E11" s="12">
        <v>21.13</v>
      </c>
      <c r="F11">
        <v>24.67</v>
      </c>
      <c r="K11">
        <v>0.02</v>
      </c>
    </row>
    <row r="12" spans="1:14" s="6" customFormat="1">
      <c r="C12" s="6">
        <v>21.38</v>
      </c>
      <c r="D12" s="12">
        <v>23.42</v>
      </c>
      <c r="E12" s="12">
        <v>21.13</v>
      </c>
      <c r="F12" s="6">
        <v>24.66</v>
      </c>
      <c r="K12" s="6">
        <v>0</v>
      </c>
      <c r="N12" s="6">
        <v>554</v>
      </c>
    </row>
    <row r="13" spans="1:14" s="88" customFormat="1">
      <c r="C13" s="88">
        <f>C12-C8</f>
        <v>-0.42999999999999972</v>
      </c>
      <c r="D13" s="89"/>
      <c r="E13" s="89"/>
      <c r="F13" s="88">
        <f>F12-F8</f>
        <v>-0.37000000000000099</v>
      </c>
      <c r="G13" s="88">
        <f>G12-G8</f>
        <v>0</v>
      </c>
      <c r="J13" s="88">
        <f>J12-J8</f>
        <v>0</v>
      </c>
      <c r="K13" s="88">
        <f>K12-K8</f>
        <v>0</v>
      </c>
      <c r="N13" s="88">
        <f>N12-N8</f>
        <v>38</v>
      </c>
    </row>
    <row r="14" spans="1:14">
      <c r="C14" s="86">
        <v>20.95</v>
      </c>
      <c r="D14" s="87">
        <v>23.42</v>
      </c>
      <c r="E14" s="87">
        <v>21.13</v>
      </c>
      <c r="F14" s="86">
        <v>24.29</v>
      </c>
      <c r="J14">
        <v>0</v>
      </c>
      <c r="K14" s="86">
        <v>7.6E-3</v>
      </c>
      <c r="L14" s="86">
        <v>1.4E-2</v>
      </c>
      <c r="M14" s="86">
        <v>804.3</v>
      </c>
      <c r="N14" s="86">
        <v>590</v>
      </c>
    </row>
    <row r="15" spans="1:14">
      <c r="C15" s="86">
        <v>20.75</v>
      </c>
      <c r="D15" s="87">
        <v>23.42</v>
      </c>
      <c r="E15" s="87">
        <v>21.13</v>
      </c>
      <c r="F15" s="86">
        <v>24.29</v>
      </c>
      <c r="K15" s="86">
        <v>0.31</v>
      </c>
      <c r="L15" s="86">
        <v>1.4E-2</v>
      </c>
      <c r="M15" s="86">
        <v>805</v>
      </c>
      <c r="N15" s="86">
        <v>851</v>
      </c>
    </row>
    <row r="16" spans="1:14">
      <c r="C16" s="86">
        <v>20.95</v>
      </c>
      <c r="D16" s="86">
        <v>23.32</v>
      </c>
      <c r="E16" s="87">
        <v>21.13</v>
      </c>
      <c r="F16" s="86">
        <v>24.29</v>
      </c>
      <c r="K16" s="86">
        <v>2.7E-2</v>
      </c>
      <c r="L16" s="86">
        <v>-0.15</v>
      </c>
      <c r="M16" s="86">
        <v>664</v>
      </c>
      <c r="N16" s="86">
        <v>606</v>
      </c>
    </row>
    <row r="17" spans="1:22">
      <c r="C17" s="86">
        <v>20.95</v>
      </c>
      <c r="D17" s="86">
        <v>23.42</v>
      </c>
      <c r="E17" s="86">
        <v>20.93</v>
      </c>
      <c r="F17" s="86">
        <v>24.29</v>
      </c>
      <c r="K17" s="86">
        <v>2.4E-2</v>
      </c>
      <c r="L17" s="86">
        <v>0.24</v>
      </c>
      <c r="M17" s="86">
        <v>990.5</v>
      </c>
      <c r="N17" s="86">
        <v>604</v>
      </c>
    </row>
    <row r="18" spans="1:22">
      <c r="C18" s="86">
        <v>20.95</v>
      </c>
      <c r="D18" s="86">
        <v>23.42</v>
      </c>
      <c r="E18" s="86">
        <v>21.13</v>
      </c>
      <c r="F18" s="86">
        <v>24.19</v>
      </c>
      <c r="K18" s="86">
        <v>-0.15</v>
      </c>
      <c r="L18" s="86">
        <v>7.0000000000000001E-3</v>
      </c>
      <c r="M18" s="86">
        <v>798</v>
      </c>
      <c r="N18" s="86">
        <v>764</v>
      </c>
    </row>
    <row r="19" spans="1:22">
      <c r="C19">
        <v>20.95</v>
      </c>
      <c r="D19">
        <v>23.42</v>
      </c>
      <c r="E19">
        <v>21.15</v>
      </c>
      <c r="F19">
        <v>24.28</v>
      </c>
      <c r="K19">
        <v>-6.3E-3</v>
      </c>
      <c r="L19">
        <v>-1.7999999999999999E-2</v>
      </c>
      <c r="M19">
        <v>777</v>
      </c>
      <c r="N19">
        <v>579</v>
      </c>
      <c r="P19">
        <v>793</v>
      </c>
      <c r="Q19">
        <v>604</v>
      </c>
    </row>
    <row r="20" spans="1:22">
      <c r="C20">
        <v>20.93</v>
      </c>
      <c r="D20">
        <v>23.44</v>
      </c>
      <c r="E20">
        <v>21.16</v>
      </c>
      <c r="F20">
        <v>24.28</v>
      </c>
      <c r="K20">
        <v>2.3E-2</v>
      </c>
      <c r="L20">
        <v>5.0000000000000001E-3</v>
      </c>
      <c r="M20">
        <v>798</v>
      </c>
      <c r="N20">
        <v>606</v>
      </c>
    </row>
    <row r="21" spans="1:22">
      <c r="C21">
        <v>20.942</v>
      </c>
      <c r="D21">
        <v>23.428000000000001</v>
      </c>
      <c r="E21">
        <v>21.146999999999998</v>
      </c>
      <c r="F21">
        <v>24.274000000000001</v>
      </c>
      <c r="K21">
        <v>-5.0000000000000001E-3</v>
      </c>
      <c r="L21">
        <v>-1.2999999999999999E-3</v>
      </c>
      <c r="M21">
        <v>790.2</v>
      </c>
      <c r="N21">
        <v>582.9</v>
      </c>
      <c r="O21">
        <f>N21-$Q$19</f>
        <v>-21.100000000000023</v>
      </c>
    </row>
    <row r="23" spans="1:22">
      <c r="C23">
        <f>-$C$13*O21/N13</f>
        <v>-0.23876315789473695</v>
      </c>
      <c r="F23">
        <f>-$F$13*O21/N13</f>
        <v>-0.20544736842105341</v>
      </c>
    </row>
    <row r="24" spans="1:22">
      <c r="C24">
        <f>C21-C23</f>
        <v>21.180763157894738</v>
      </c>
      <c r="F24">
        <f>F21-F23</f>
        <v>24.479447368421056</v>
      </c>
      <c r="K24">
        <v>-7.0000000000000001E-3</v>
      </c>
      <c r="L24">
        <v>8.0000000000000004E-4</v>
      </c>
      <c r="M24">
        <v>794</v>
      </c>
      <c r="N24">
        <v>563</v>
      </c>
    </row>
    <row r="25" spans="1:22">
      <c r="C25" s="90">
        <v>20.703236842105262</v>
      </c>
      <c r="D25" s="90">
        <v>23.428000000000001</v>
      </c>
      <c r="E25" s="90">
        <v>21.146999999999998</v>
      </c>
      <c r="F25" s="90">
        <v>24.068552631578946</v>
      </c>
      <c r="G25" s="90"/>
      <c r="H25" s="90"/>
      <c r="I25" s="90"/>
      <c r="J25" s="90"/>
      <c r="K25" s="90">
        <v>8.0000000000000004E-4</v>
      </c>
      <c r="L25" s="90">
        <v>4.0000000000000002E-4</v>
      </c>
      <c r="M25" s="90">
        <v>793</v>
      </c>
      <c r="N25" s="90">
        <v>602</v>
      </c>
    </row>
    <row r="27" spans="1:22">
      <c r="A27" s="34" t="s">
        <v>0</v>
      </c>
      <c r="B27" s="34" t="s">
        <v>375</v>
      </c>
      <c r="C27" s="766" t="s">
        <v>6</v>
      </c>
      <c r="D27" s="766"/>
      <c r="E27" s="766" t="s">
        <v>7</v>
      </c>
      <c r="F27" s="766"/>
      <c r="G27" s="766" t="s">
        <v>8</v>
      </c>
      <c r="H27" s="766"/>
      <c r="I27" s="702" t="s">
        <v>14</v>
      </c>
      <c r="J27" s="702" t="s">
        <v>17</v>
      </c>
      <c r="K27" s="36" t="s">
        <v>420</v>
      </c>
      <c r="L27" s="36" t="s">
        <v>421</v>
      </c>
      <c r="M27" s="34" t="s">
        <v>422</v>
      </c>
      <c r="N27" s="34" t="s">
        <v>423</v>
      </c>
    </row>
    <row r="28" spans="1:22">
      <c r="A28" s="100">
        <v>44971</v>
      </c>
      <c r="C28">
        <v>20.77</v>
      </c>
      <c r="D28">
        <v>23.484999999999999</v>
      </c>
      <c r="E28">
        <v>21.201000000000001</v>
      </c>
      <c r="F28">
        <v>24.12</v>
      </c>
      <c r="G28">
        <v>24.12</v>
      </c>
      <c r="H28">
        <v>23.77</v>
      </c>
      <c r="K28">
        <v>2.1999999999999999E-2</v>
      </c>
      <c r="L28">
        <v>3.2000000000000001E-2</v>
      </c>
      <c r="M28">
        <v>808</v>
      </c>
      <c r="N28">
        <v>601.5</v>
      </c>
      <c r="U28">
        <v>0.34599999999999997</v>
      </c>
      <c r="V28">
        <v>0.2215</v>
      </c>
    </row>
    <row r="29" spans="1:22">
      <c r="C29">
        <v>20.77</v>
      </c>
      <c r="D29">
        <v>23.484999999999999</v>
      </c>
      <c r="E29">
        <v>21.201000000000001</v>
      </c>
      <c r="F29">
        <v>24.06</v>
      </c>
      <c r="G29">
        <v>24.12</v>
      </c>
      <c r="H29">
        <v>23.77</v>
      </c>
      <c r="K29">
        <v>-8.2000000000000003E-2</v>
      </c>
      <c r="L29">
        <v>3.2000000000000001E-2</v>
      </c>
    </row>
    <row r="30" spans="1:22">
      <c r="C30">
        <v>20.696999999999999</v>
      </c>
      <c r="D30">
        <v>23.55</v>
      </c>
      <c r="E30">
        <v>21.300999999999998</v>
      </c>
      <c r="F30">
        <v>24.06</v>
      </c>
      <c r="G30">
        <v>24.12</v>
      </c>
      <c r="H30">
        <v>23.77</v>
      </c>
      <c r="K30">
        <v>-8.2000000000000003E-2</v>
      </c>
      <c r="L30">
        <v>-9.1999999999999998E-2</v>
      </c>
      <c r="M30">
        <v>808</v>
      </c>
      <c r="N30">
        <v>602</v>
      </c>
      <c r="P30" s="35">
        <v>0.187</v>
      </c>
      <c r="Q30" s="35">
        <v>5.9499999999999997E-2</v>
      </c>
      <c r="R30" s="35">
        <v>7.1999999999999995E-2</v>
      </c>
      <c r="S30" s="35">
        <v>-0.12</v>
      </c>
    </row>
    <row r="31" spans="1:22">
      <c r="C31">
        <v>20.696999999999999</v>
      </c>
      <c r="D31">
        <v>23.55</v>
      </c>
      <c r="E31">
        <v>21.300999999999998</v>
      </c>
      <c r="F31">
        <v>24.06</v>
      </c>
      <c r="G31">
        <v>24.12</v>
      </c>
      <c r="H31">
        <v>23.77</v>
      </c>
      <c r="K31">
        <v>1.6E-2</v>
      </c>
      <c r="L31">
        <v>2.5000000000000001E-2</v>
      </c>
      <c r="M31">
        <v>808</v>
      </c>
      <c r="N31">
        <v>602</v>
      </c>
      <c r="P31">
        <v>8.6999999999999994E-2</v>
      </c>
      <c r="Q31">
        <v>0.1595</v>
      </c>
      <c r="R31">
        <v>-6.6000000000000003E-2</v>
      </c>
      <c r="S31">
        <v>7.0000000000000007E-2</v>
      </c>
    </row>
    <row r="32" spans="1:22">
      <c r="C32" s="101">
        <v>20.57</v>
      </c>
      <c r="D32" s="101">
        <v>23.83</v>
      </c>
      <c r="E32" s="101">
        <v>21.701000000000001</v>
      </c>
      <c r="F32" s="101">
        <v>23.94</v>
      </c>
      <c r="G32" s="101">
        <v>24.12</v>
      </c>
      <c r="H32" s="101">
        <v>23.77</v>
      </c>
      <c r="J32">
        <v>81032</v>
      </c>
      <c r="M32" s="101">
        <v>807.7</v>
      </c>
      <c r="N32" s="101">
        <v>601.6</v>
      </c>
    </row>
    <row r="33" spans="3:22">
      <c r="C33" s="101">
        <v>20.57</v>
      </c>
      <c r="D33" s="101">
        <v>23.83</v>
      </c>
      <c r="E33" s="101">
        <v>21.701000000000001</v>
      </c>
      <c r="F33" s="101">
        <v>23.94</v>
      </c>
      <c r="G33" s="101">
        <v>24.12</v>
      </c>
      <c r="H33" s="101">
        <v>23.77</v>
      </c>
      <c r="J33">
        <v>81341</v>
      </c>
      <c r="K33" s="101">
        <v>5.0000000000000001E-3</v>
      </c>
      <c r="L33" s="101">
        <v>4.0000000000000001E-3</v>
      </c>
      <c r="P33" s="35" t="s">
        <v>925</v>
      </c>
      <c r="Q33" s="35" t="s">
        <v>926</v>
      </c>
      <c r="R33" s="35" t="s">
        <v>927</v>
      </c>
      <c r="S33" s="35" t="s">
        <v>928</v>
      </c>
      <c r="U33" t="s">
        <v>929</v>
      </c>
      <c r="V33" t="s">
        <v>930</v>
      </c>
    </row>
    <row r="34" spans="3:22">
      <c r="P34" s="35">
        <v>8.6999999999999994E-2</v>
      </c>
      <c r="Q34" s="35">
        <v>5.9499999999999997E-2</v>
      </c>
      <c r="R34" s="35">
        <v>-8.0000000000000002E-3</v>
      </c>
      <c r="S34" s="35">
        <v>-1.4E-2</v>
      </c>
    </row>
    <row r="35" spans="3:22">
      <c r="P35" s="35">
        <v>0.187</v>
      </c>
      <c r="Q35" s="35">
        <v>5.9499999999999997E-2</v>
      </c>
      <c r="R35" s="35">
        <v>7.2999999999999995E-2</v>
      </c>
      <c r="S35" s="35">
        <v>4.7E-2</v>
      </c>
      <c r="U35">
        <f>R35-$R$34</f>
        <v>8.0999999999999989E-2</v>
      </c>
      <c r="V35">
        <f>S35-$S$34</f>
        <v>6.0999999999999999E-2</v>
      </c>
    </row>
    <row r="36" spans="3:22">
      <c r="P36">
        <v>8.6999999999999994E-2</v>
      </c>
      <c r="Q36">
        <v>0.1595</v>
      </c>
      <c r="R36">
        <v>-6.4000000000000001E-2</v>
      </c>
      <c r="S36">
        <v>-0.26300000000000001</v>
      </c>
      <c r="U36">
        <f>R36-$R$34</f>
        <v>-5.6000000000000001E-2</v>
      </c>
      <c r="V36">
        <f>S36-$S$34</f>
        <v>-0.249</v>
      </c>
    </row>
    <row r="38" spans="3:22">
      <c r="P38">
        <f>P34+0.01</f>
        <v>9.6999999999999989E-2</v>
      </c>
      <c r="Q38">
        <f>Q34-0.008</f>
        <v>5.1499999999999997E-2</v>
      </c>
      <c r="R38">
        <v>6.0000000000000001E-3</v>
      </c>
      <c r="S38">
        <v>-1.2E-2</v>
      </c>
    </row>
    <row r="39" spans="3:22">
      <c r="P39">
        <f>P38-0.007</f>
        <v>8.9999999999999983E-2</v>
      </c>
      <c r="Q39">
        <f>Q38-0.003</f>
        <v>4.8499999999999995E-2</v>
      </c>
      <c r="R39">
        <v>2E-3</v>
      </c>
      <c r="S39">
        <v>-1.7999999999999999E-2</v>
      </c>
    </row>
    <row r="40" spans="3:22">
      <c r="P40">
        <v>0.09</v>
      </c>
      <c r="Q40">
        <v>0.04</v>
      </c>
      <c r="R40">
        <v>7.0000000000000001E-3</v>
      </c>
      <c r="S40">
        <v>-2.5999999999999999E-2</v>
      </c>
    </row>
    <row r="41" spans="3:22">
      <c r="P41">
        <v>0.09</v>
      </c>
      <c r="Q41">
        <v>5.5E-2</v>
      </c>
      <c r="R41">
        <v>-2E-3</v>
      </c>
      <c r="S41">
        <v>-1.2999999999999999E-2</v>
      </c>
    </row>
    <row r="42" spans="3:22">
      <c r="P42" s="101">
        <v>0.09</v>
      </c>
      <c r="Q42" s="101">
        <v>0.06</v>
      </c>
      <c r="R42" s="101">
        <v>-5.0000000000000001E-3</v>
      </c>
      <c r="S42" s="101">
        <v>-8.0000000000000002E-3</v>
      </c>
    </row>
  </sheetData>
  <mergeCells count="6">
    <mergeCell ref="C1:D1"/>
    <mergeCell ref="E1:F1"/>
    <mergeCell ref="G1:H1"/>
    <mergeCell ref="C27:D27"/>
    <mergeCell ref="E27:F27"/>
    <mergeCell ref="G27:H27"/>
  </mergeCell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42"/>
  <sheetViews>
    <sheetView topLeftCell="A9" workbookViewId="0">
      <selection activeCell="C41" sqref="C41"/>
    </sheetView>
  </sheetViews>
  <sheetFormatPr defaultColWidth="8.7109375" defaultRowHeight="14.45"/>
  <cols>
    <col min="1" max="1" width="10.7109375" bestFit="1" customWidth="1"/>
  </cols>
  <sheetData>
    <row r="1" spans="1:8">
      <c r="A1" s="1" t="s">
        <v>0</v>
      </c>
      <c r="B1" s="1" t="s">
        <v>931</v>
      </c>
      <c r="C1" s="767" t="s">
        <v>6</v>
      </c>
      <c r="D1" s="767"/>
      <c r="E1" s="767" t="s">
        <v>7</v>
      </c>
      <c r="F1" s="767"/>
      <c r="G1" s="767" t="s">
        <v>8</v>
      </c>
      <c r="H1" s="767"/>
    </row>
    <row r="2" spans="1:8">
      <c r="B2" t="s">
        <v>932</v>
      </c>
      <c r="C2">
        <v>-5000</v>
      </c>
    </row>
    <row r="3" spans="1:8">
      <c r="B3" t="s">
        <v>933</v>
      </c>
    </row>
    <row r="4" spans="1:8">
      <c r="B4" t="s">
        <v>932</v>
      </c>
      <c r="C4">
        <v>-5000</v>
      </c>
    </row>
    <row r="5" spans="1:8">
      <c r="B5" t="s">
        <v>932</v>
      </c>
      <c r="C5">
        <v>-10000</v>
      </c>
    </row>
    <row r="6" spans="1:8">
      <c r="B6" t="s">
        <v>932</v>
      </c>
      <c r="D6">
        <v>-10000</v>
      </c>
    </row>
    <row r="9" spans="1:8">
      <c r="G9" t="s">
        <v>287</v>
      </c>
    </row>
    <row r="11" spans="1:8">
      <c r="A11" s="2">
        <v>44913</v>
      </c>
    </row>
    <row r="12" spans="1:8">
      <c r="A12" t="s">
        <v>934</v>
      </c>
    </row>
    <row r="13" spans="1:8">
      <c r="A13" t="s">
        <v>935</v>
      </c>
    </row>
    <row r="14" spans="1:8">
      <c r="A14" t="s">
        <v>936</v>
      </c>
    </row>
    <row r="15" spans="1:8">
      <c r="B15" t="s">
        <v>937</v>
      </c>
    </row>
    <row r="16" spans="1:8">
      <c r="B16" t="s">
        <v>938</v>
      </c>
    </row>
    <row r="17" spans="1:2">
      <c r="B17" t="s">
        <v>939</v>
      </c>
    </row>
    <row r="18" spans="1:2">
      <c r="B18" t="s">
        <v>940</v>
      </c>
    </row>
    <row r="19" spans="1:2">
      <c r="B19" t="s">
        <v>941</v>
      </c>
    </row>
    <row r="20" spans="1:2">
      <c r="B20" t="s">
        <v>942</v>
      </c>
    </row>
    <row r="21" spans="1:2">
      <c r="A21" t="s">
        <v>943</v>
      </c>
    </row>
    <row r="22" spans="1:2">
      <c r="B22" t="s">
        <v>944</v>
      </c>
    </row>
    <row r="23" spans="1:2">
      <c r="B23" t="s">
        <v>945</v>
      </c>
    </row>
    <row r="24" spans="1:2">
      <c r="A24" t="s">
        <v>946</v>
      </c>
    </row>
    <row r="25" spans="1:2">
      <c r="A25" t="s">
        <v>947</v>
      </c>
    </row>
    <row r="26" spans="1:2">
      <c r="A26" t="s">
        <v>948</v>
      </c>
    </row>
    <row r="27" spans="1:2">
      <c r="A27" t="s">
        <v>949</v>
      </c>
    </row>
    <row r="28" spans="1:2">
      <c r="A28" t="s">
        <v>950</v>
      </c>
    </row>
    <row r="29" spans="1:2">
      <c r="A29" t="s">
        <v>951</v>
      </c>
    </row>
    <row r="30" spans="1:2">
      <c r="A30" t="s">
        <v>952</v>
      </c>
    </row>
    <row r="31" spans="1:2">
      <c r="A31" t="s">
        <v>953</v>
      </c>
    </row>
    <row r="32" spans="1:2">
      <c r="A32" t="s">
        <v>954</v>
      </c>
    </row>
    <row r="34" spans="1:3">
      <c r="A34" t="s">
        <v>955</v>
      </c>
    </row>
    <row r="36" spans="1:3">
      <c r="A36" s="91" t="s">
        <v>956</v>
      </c>
      <c r="B36" s="91" t="s">
        <v>957</v>
      </c>
      <c r="C36" s="91" t="s">
        <v>958</v>
      </c>
    </row>
    <row r="37" spans="1:3">
      <c r="A37" t="s">
        <v>959</v>
      </c>
      <c r="B37" s="3">
        <v>2118</v>
      </c>
      <c r="C37" t="s">
        <v>960</v>
      </c>
    </row>
    <row r="38" spans="1:3">
      <c r="A38" t="s">
        <v>961</v>
      </c>
      <c r="B38" s="3">
        <v>2118</v>
      </c>
      <c r="C38" t="s">
        <v>962</v>
      </c>
    </row>
    <row r="39" spans="1:3">
      <c r="A39" t="s">
        <v>963</v>
      </c>
      <c r="B39" s="3">
        <v>2118</v>
      </c>
      <c r="C39" t="s">
        <v>964</v>
      </c>
    </row>
    <row r="40" spans="1:3">
      <c r="A40" t="s">
        <v>965</v>
      </c>
      <c r="B40" s="3">
        <v>2118</v>
      </c>
      <c r="C40" t="s">
        <v>966</v>
      </c>
    </row>
    <row r="42" spans="1:3">
      <c r="A42" t="s">
        <v>963</v>
      </c>
      <c r="B42" t="s">
        <v>65</v>
      </c>
      <c r="C42" t="s">
        <v>967</v>
      </c>
    </row>
  </sheetData>
  <mergeCells count="3">
    <mergeCell ref="C1:D1"/>
    <mergeCell ref="E1:F1"/>
    <mergeCell ref="G1:H1"/>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8F0BDB-03AC-49C1-A50E-5A65C50106EC}">
  <sheetPr>
    <tabColor rgb="FFFFF2CC"/>
  </sheetPr>
  <dimension ref="A1:P54"/>
  <sheetViews>
    <sheetView topLeftCell="A2" workbookViewId="0">
      <selection activeCell="B18" sqref="B18"/>
    </sheetView>
  </sheetViews>
  <sheetFormatPr defaultColWidth="8.7109375" defaultRowHeight="14.45"/>
  <cols>
    <col min="1" max="1" width="10.42578125" bestFit="1" customWidth="1"/>
    <col min="2" max="3" width="9.28515625" bestFit="1" customWidth="1"/>
    <col min="4" max="9" width="9.140625" bestFit="1" customWidth="1"/>
    <col min="10" max="10" width="12.5703125" customWidth="1"/>
    <col min="11" max="12" width="9.140625" bestFit="1" customWidth="1"/>
    <col min="13" max="13" width="9.140625" customWidth="1"/>
    <col min="14" max="14" width="85.42578125" customWidth="1"/>
    <col min="16" max="16" width="14.42578125" customWidth="1"/>
  </cols>
  <sheetData>
    <row r="1" spans="1:16" ht="26.45" thickBot="1">
      <c r="A1" s="568" t="s">
        <v>968</v>
      </c>
      <c r="L1" s="719" t="s">
        <v>361</v>
      </c>
      <c r="M1" s="720"/>
      <c r="N1" s="133" t="s">
        <v>390</v>
      </c>
      <c r="O1" s="137" t="s">
        <v>391</v>
      </c>
      <c r="P1" s="134" t="s">
        <v>404</v>
      </c>
    </row>
    <row r="2" spans="1:16" ht="46.9">
      <c r="A2" s="631" t="s">
        <v>0</v>
      </c>
      <c r="B2" s="768" t="s">
        <v>969</v>
      </c>
      <c r="C2" s="768"/>
      <c r="D2" s="768" t="s">
        <v>358</v>
      </c>
      <c r="E2" s="768"/>
      <c r="F2" s="703" t="s">
        <v>18</v>
      </c>
      <c r="G2" s="703" t="s">
        <v>19</v>
      </c>
      <c r="H2" s="703" t="s">
        <v>359</v>
      </c>
      <c r="I2" s="632" t="s">
        <v>360</v>
      </c>
      <c r="L2" s="104" t="s">
        <v>365</v>
      </c>
      <c r="M2" s="105" t="s">
        <v>366</v>
      </c>
      <c r="N2" s="135">
        <v>34.5</v>
      </c>
      <c r="O2" s="138">
        <v>0.60213899999999998</v>
      </c>
      <c r="P2" s="136">
        <v>20.9</v>
      </c>
    </row>
    <row r="3" spans="1:16" ht="18.600000000000001" thickBot="1">
      <c r="A3" s="633" t="s">
        <v>363</v>
      </c>
      <c r="B3" s="721" t="s">
        <v>364</v>
      </c>
      <c r="C3" s="721"/>
      <c r="D3" s="721"/>
      <c r="E3" s="721"/>
      <c r="F3" s="688">
        <v>0</v>
      </c>
      <c r="G3" s="688">
        <v>0</v>
      </c>
      <c r="H3" s="688">
        <v>808</v>
      </c>
      <c r="I3" s="634">
        <v>602</v>
      </c>
      <c r="L3" s="498">
        <v>10.6</v>
      </c>
      <c r="M3" s="499">
        <v>-19</v>
      </c>
      <c r="N3" s="723" t="s">
        <v>970</v>
      </c>
      <c r="O3" s="725"/>
      <c r="P3" s="724"/>
    </row>
    <row r="4" spans="1:16" ht="15" thickBot="1">
      <c r="A4" s="569" t="s">
        <v>971</v>
      </c>
      <c r="B4" s="600">
        <f>'Position Log - Ball'!G285</f>
        <v>20.326335200000003</v>
      </c>
      <c r="C4" s="611">
        <f>'Position Log - Ball'!H285</f>
        <v>23.626529999999999</v>
      </c>
      <c r="D4" s="610">
        <f>'Position Log - Ball'!I285</f>
        <v>21.561900000000001</v>
      </c>
      <c r="E4" s="610">
        <f>'Position Log - Ball'!J285</f>
        <v>23.68008</v>
      </c>
      <c r="F4" s="600">
        <f>'Position Log - Ball'!V285</f>
        <v>-1.1000000000000001E-3</v>
      </c>
      <c r="G4" s="600">
        <f>'Position Log - Ball'!W285</f>
        <v>1.1000000000000001E-3</v>
      </c>
      <c r="H4" s="600">
        <f>'Position Log - Ball'!X286</f>
        <v>807.67</v>
      </c>
      <c r="I4" s="601">
        <f>'Position Log - Ball'!Y286</f>
        <v>601.55999999999995</v>
      </c>
      <c r="L4" s="635" t="s">
        <v>972</v>
      </c>
      <c r="M4" s="605" t="s">
        <v>973</v>
      </c>
    </row>
    <row r="5" spans="1:16" ht="15" thickBot="1">
      <c r="A5" s="604" t="s">
        <v>974</v>
      </c>
      <c r="B5" s="608">
        <f>(I$3-I4)*L$5+B4</f>
        <v>20.325520145063841</v>
      </c>
      <c r="C5" s="596">
        <f>(H$3-H4)*L$5+C4</f>
        <v>23.625918708797879</v>
      </c>
      <c r="D5" s="636">
        <f>($G$3-G4)*$M$3+D4</f>
        <v>21.582800000000002</v>
      </c>
      <c r="E5" s="637">
        <f>($F$3-F4)*$L$3+E4</f>
        <v>23.691739999999999</v>
      </c>
      <c r="F5" s="602"/>
      <c r="G5" s="602"/>
      <c r="H5" s="602"/>
      <c r="I5" s="603"/>
      <c r="L5" s="606">
        <f>(J24-J23)/(F39-F38)</f>
        <v>-1.8523975821827278E-3</v>
      </c>
      <c r="M5" s="607">
        <f>(K24-K23)/(L24-L23)</f>
        <v>6.6474331024500761E-4</v>
      </c>
    </row>
    <row r="6" spans="1:16">
      <c r="A6" s="609" t="s">
        <v>975</v>
      </c>
      <c r="B6" s="638">
        <f>($F$3-F4)*$L$3*1.04+B4-0.02</f>
        <v>20.318461600000003</v>
      </c>
      <c r="C6" s="638">
        <f>($G$3-G4)*$M$3*0.66+C4-0.02</f>
        <v>23.620324</v>
      </c>
    </row>
    <row r="8" spans="1:16" ht="26.45" thickBot="1">
      <c r="A8" s="568" t="s">
        <v>976</v>
      </c>
      <c r="F8" t="s">
        <v>977</v>
      </c>
    </row>
    <row r="9" spans="1:16" ht="41.25" customHeight="1">
      <c r="A9" s="639" t="s">
        <v>0</v>
      </c>
      <c r="B9" s="640" t="s">
        <v>385</v>
      </c>
      <c r="C9" s="640" t="s">
        <v>386</v>
      </c>
      <c r="D9" s="640" t="s">
        <v>387</v>
      </c>
      <c r="E9" s="640" t="s">
        <v>19</v>
      </c>
      <c r="F9" s="640" t="s">
        <v>388</v>
      </c>
      <c r="G9" s="640" t="s">
        <v>389</v>
      </c>
      <c r="H9" s="562" t="s">
        <v>978</v>
      </c>
      <c r="I9" s="563" t="s">
        <v>979</v>
      </c>
    </row>
    <row r="10" spans="1:16" ht="15" thickBot="1">
      <c r="A10" s="569" t="s">
        <v>971</v>
      </c>
      <c r="B10" s="610">
        <f>'Position Log - Ball'!P305</f>
        <v>8.1600000000000006E-3</v>
      </c>
      <c r="C10" s="610">
        <f>'Position Log - Ball'!Q305</f>
        <v>7.8200000000000006E-2</v>
      </c>
      <c r="D10" s="641">
        <f>'Position Log - Ball'!V305</f>
        <v>-3.5000000000000001E-3</v>
      </c>
      <c r="E10" s="641">
        <f>'Position Log - Ball'!W305</f>
        <v>3.8999999999999998E-3</v>
      </c>
      <c r="F10" s="641">
        <f>'Position Log - Ball'!V298</f>
        <v>-2.8E-3</v>
      </c>
      <c r="G10" s="641">
        <f>'Position Log - Ball'!W298</f>
        <v>3.5000000000000001E-3</v>
      </c>
      <c r="H10" s="642">
        <f>D10-F10</f>
        <v>-7.000000000000001E-4</v>
      </c>
      <c r="I10" s="643">
        <f>E10-G10</f>
        <v>3.9999999999999975E-4</v>
      </c>
    </row>
    <row r="11" spans="1:16" ht="18.600000000000001" thickBot="1">
      <c r="A11" s="644" t="s">
        <v>394</v>
      </c>
      <c r="B11" s="645">
        <f>B10+(F10-D10)*COS($O$2)+(G10-E10)*SIN($O$2)</f>
        <v>8.5103255409574446E-3</v>
      </c>
      <c r="C11" s="646">
        <f>C10-(F10-D10)*SIN($O$2)+(G10-E10)*COS($O$2)</f>
        <v>7.7473865015749224E-2</v>
      </c>
      <c r="D11" s="647"/>
      <c r="E11" s="647"/>
      <c r="F11" s="567"/>
      <c r="G11" s="647"/>
      <c r="H11" s="648"/>
      <c r="I11" s="113"/>
      <c r="L11" s="138"/>
      <c r="M11" s="138"/>
      <c r="O11" s="106"/>
    </row>
    <row r="12" spans="1:16" ht="18">
      <c r="A12" s="566" t="s">
        <v>980</v>
      </c>
      <c r="J12" s="138"/>
      <c r="K12" s="138"/>
      <c r="L12" s="35"/>
      <c r="M12" s="35"/>
      <c r="O12" s="106"/>
    </row>
    <row r="13" spans="1:16" ht="18" customHeight="1">
      <c r="J13" s="35"/>
      <c r="K13" s="35"/>
      <c r="L13" s="35"/>
      <c r="M13" s="35"/>
      <c r="O13" s="106" t="s">
        <v>363</v>
      </c>
    </row>
    <row r="14" spans="1:16" ht="18" customHeight="1">
      <c r="H14" s="35"/>
      <c r="I14" s="35"/>
      <c r="J14" s="35"/>
      <c r="K14" s="35"/>
      <c r="O14" s="106"/>
    </row>
    <row r="15" spans="1:16" ht="26.45" thickBot="1">
      <c r="A15" s="568" t="s">
        <v>981</v>
      </c>
      <c r="H15" s="35"/>
      <c r="I15" s="35"/>
      <c r="J15" s="35"/>
      <c r="K15" s="35"/>
      <c r="O15" s="35" t="s">
        <v>363</v>
      </c>
    </row>
    <row r="16" spans="1:16" ht="41.25" customHeight="1">
      <c r="A16" s="639" t="s">
        <v>0</v>
      </c>
      <c r="B16" s="640" t="s">
        <v>398</v>
      </c>
      <c r="C16" s="640" t="s">
        <v>399</v>
      </c>
      <c r="D16" s="640" t="s">
        <v>400</v>
      </c>
      <c r="E16" s="640" t="s">
        <v>401</v>
      </c>
      <c r="F16" s="640" t="s">
        <v>402</v>
      </c>
      <c r="G16" s="640" t="s">
        <v>403</v>
      </c>
      <c r="H16" s="562" t="s">
        <v>982</v>
      </c>
      <c r="I16" s="563" t="s">
        <v>983</v>
      </c>
      <c r="J16" s="35"/>
      <c r="K16" s="35"/>
      <c r="L16" s="35"/>
      <c r="M16" s="35"/>
      <c r="O16" s="35" t="s">
        <v>363</v>
      </c>
    </row>
    <row r="17" spans="1:15" ht="15" thickBot="1">
      <c r="A17" s="569" t="s">
        <v>971</v>
      </c>
      <c r="B17" s="610">
        <v>0</v>
      </c>
      <c r="C17" s="610">
        <v>0</v>
      </c>
      <c r="D17" s="649">
        <f>'Position Log - Ball'!X306</f>
        <v>810.58600000000001</v>
      </c>
      <c r="E17" s="649">
        <f>'Position Log - Ball'!Y306</f>
        <v>598.85599999999999</v>
      </c>
      <c r="F17" s="650">
        <f>'Position Log - Ball'!X299</f>
        <v>810.68499999999995</v>
      </c>
      <c r="G17" s="650">
        <f>'Position Log - Ball'!Y299</f>
        <v>598.59799999999996</v>
      </c>
      <c r="H17" s="564">
        <f>D17-F17</f>
        <v>-9.8999999999932697E-2</v>
      </c>
      <c r="I17" s="565">
        <f>E17-G17</f>
        <v>0.2580000000000382</v>
      </c>
      <c r="J17" s="35"/>
      <c r="K17" s="35"/>
      <c r="L17" s="35"/>
      <c r="M17" s="35"/>
      <c r="O17" s="35" t="s">
        <v>363</v>
      </c>
    </row>
    <row r="18" spans="1:15" ht="15" thickBot="1">
      <c r="A18" s="644" t="s">
        <v>407</v>
      </c>
      <c r="B18" s="645">
        <f>((F17-D17)*COS($O$2)-(G17-E17)*SIN($O$2))/$P$2</f>
        <v>1.0895759123558436E-2</v>
      </c>
      <c r="C18" s="646">
        <f>(-(F17-D17)*SIN($O$2)-(G17-E17)*COS($O$2))/$P$2</f>
        <v>7.4904424059606825E-3</v>
      </c>
      <c r="D18" s="647"/>
      <c r="E18" s="647"/>
      <c r="F18" s="647"/>
      <c r="G18" s="647"/>
      <c r="H18" s="648"/>
      <c r="I18" s="113"/>
      <c r="J18" s="35"/>
      <c r="K18" s="35"/>
      <c r="L18" s="35"/>
      <c r="M18" s="35"/>
      <c r="O18" s="35"/>
    </row>
    <row r="19" spans="1:15">
      <c r="A19" s="566" t="s">
        <v>980</v>
      </c>
      <c r="H19" s="35"/>
      <c r="I19" s="35"/>
      <c r="J19" s="35"/>
      <c r="K19" s="35"/>
      <c r="L19" s="35"/>
      <c r="M19" s="35"/>
      <c r="O19" s="35"/>
    </row>
    <row r="20" spans="1:15">
      <c r="H20" s="35"/>
      <c r="I20" s="35"/>
      <c r="J20" s="35"/>
      <c r="K20" s="35"/>
      <c r="L20" s="35"/>
      <c r="M20" s="35"/>
      <c r="O20" s="35"/>
    </row>
    <row r="21" spans="1:15">
      <c r="H21" s="35"/>
      <c r="I21" s="35"/>
      <c r="J21" s="35"/>
      <c r="K21" s="35"/>
      <c r="L21" s="35"/>
      <c r="M21" s="35"/>
      <c r="O21" s="35"/>
    </row>
    <row r="22" spans="1:15" ht="55.15">
      <c r="H22" s="35"/>
      <c r="I22" s="35"/>
      <c r="J22" s="35"/>
      <c r="K22" s="35"/>
      <c r="L22" s="35">
        <v>-7.68639508070726E-4</v>
      </c>
      <c r="M22" s="35">
        <v>6.9688839332380668E-4</v>
      </c>
      <c r="N22" s="561" t="s">
        <v>984</v>
      </c>
      <c r="O22" s="35"/>
    </row>
    <row r="23" spans="1:15" ht="18">
      <c r="H23" s="35"/>
      <c r="I23" s="35"/>
      <c r="J23" s="35">
        <v>20.210999999999999</v>
      </c>
      <c r="K23" s="35">
        <v>23.6877</v>
      </c>
      <c r="L23" s="35">
        <v>669.76800000000003</v>
      </c>
      <c r="M23" s="35">
        <v>915.53700000000003</v>
      </c>
      <c r="N23" s="106" t="s">
        <v>393</v>
      </c>
      <c r="O23" s="35"/>
    </row>
    <row r="24" spans="1:15" ht="18">
      <c r="H24" s="35"/>
      <c r="I24" s="35"/>
      <c r="J24" s="35">
        <v>20.451996925441971</v>
      </c>
      <c r="K24" s="35">
        <v>23.581449423520368</v>
      </c>
      <c r="L24" s="35">
        <v>509.93099999999998</v>
      </c>
      <c r="M24" s="35">
        <v>598.18600000000004</v>
      </c>
      <c r="N24" s="106" t="s">
        <v>396</v>
      </c>
      <c r="O24" s="35"/>
    </row>
    <row r="25" spans="1:15" ht="18">
      <c r="H25" s="35"/>
      <c r="I25" s="35"/>
      <c r="J25" s="35">
        <v>20.451996925442</v>
      </c>
      <c r="K25" s="35">
        <v>23.787700000000001</v>
      </c>
      <c r="L25" s="35">
        <v>810.625</v>
      </c>
      <c r="M25" s="35">
        <v>599.62699999999995</v>
      </c>
      <c r="N25" s="106" t="s">
        <v>397</v>
      </c>
      <c r="O25" s="35"/>
    </row>
    <row r="26" spans="1:15">
      <c r="H26" s="35"/>
      <c r="I26" s="35"/>
      <c r="J26" s="35">
        <v>20.447600000000001</v>
      </c>
      <c r="K26" s="35">
        <v>23.7926</v>
      </c>
      <c r="L26" s="35">
        <v>816.68700000000001</v>
      </c>
      <c r="M26" s="35">
        <v>605.63400000000001</v>
      </c>
      <c r="N26" s="35" t="s">
        <v>363</v>
      </c>
      <c r="O26" s="35"/>
    </row>
    <row r="27" spans="1:15">
      <c r="H27" s="35"/>
      <c r="I27" s="35"/>
      <c r="J27" s="35">
        <v>20.4513</v>
      </c>
      <c r="K27" s="35">
        <v>23.787099999999999</v>
      </c>
      <c r="L27" s="35">
        <v>807.721</v>
      </c>
      <c r="M27" s="35">
        <v>601.755</v>
      </c>
      <c r="N27" s="35" t="s">
        <v>363</v>
      </c>
      <c r="O27" s="35"/>
    </row>
    <row r="28" spans="1:15">
      <c r="H28" s="35"/>
      <c r="K28" s="35"/>
      <c r="L28" s="35"/>
      <c r="M28" s="35"/>
      <c r="N28" s="35" t="s">
        <v>363</v>
      </c>
      <c r="O28" s="35"/>
    </row>
    <row r="29" spans="1:15">
      <c r="K29" s="35"/>
      <c r="L29" s="35"/>
      <c r="M29" s="35"/>
      <c r="N29" s="35"/>
      <c r="O29" s="35"/>
    </row>
    <row r="30" spans="1:15">
      <c r="J30" s="35"/>
      <c r="K30" s="35"/>
      <c r="L30" s="35"/>
      <c r="M30" s="35"/>
      <c r="N30" s="35"/>
      <c r="O30" s="35"/>
    </row>
    <row r="31" spans="1:15">
      <c r="J31" s="35"/>
      <c r="K31" s="35"/>
      <c r="L31" s="35"/>
      <c r="M31" s="35"/>
      <c r="N31" s="35"/>
      <c r="O31" s="35"/>
    </row>
    <row r="32" spans="1:15">
      <c r="J32" s="35"/>
      <c r="K32" s="35"/>
      <c r="L32" s="35"/>
      <c r="M32" s="35"/>
      <c r="N32" s="35"/>
      <c r="O32" s="35"/>
    </row>
    <row r="33" spans="1:15">
      <c r="I33" s="35"/>
      <c r="J33" s="35"/>
      <c r="K33" s="35"/>
      <c r="L33" s="35"/>
      <c r="M33" s="35"/>
      <c r="N33" s="35"/>
      <c r="O33" s="35"/>
    </row>
    <row r="34" spans="1:15">
      <c r="A34" t="s">
        <v>985</v>
      </c>
      <c r="B34" t="s">
        <v>24</v>
      </c>
      <c r="C34" t="s">
        <v>6</v>
      </c>
      <c r="D34" t="s">
        <v>7</v>
      </c>
      <c r="E34" t="s">
        <v>986</v>
      </c>
      <c r="F34" s="35" t="s">
        <v>987</v>
      </c>
      <c r="I34" t="s">
        <v>988</v>
      </c>
      <c r="J34" s="35" t="s">
        <v>989</v>
      </c>
      <c r="K34" s="35"/>
      <c r="L34" s="35"/>
      <c r="M34" s="35"/>
    </row>
    <row r="35" spans="1:15" ht="15.6">
      <c r="C35">
        <v>20.2011</v>
      </c>
      <c r="D35">
        <v>23.787700000000001</v>
      </c>
      <c r="E35" s="322">
        <v>956.52</v>
      </c>
      <c r="F35" s="322">
        <v>614.53300000000002</v>
      </c>
      <c r="J35" s="35"/>
      <c r="K35" s="35"/>
      <c r="L35" s="35"/>
    </row>
    <row r="36" spans="1:15">
      <c r="C36">
        <v>20.2011</v>
      </c>
      <c r="D36">
        <v>23.587700000000002</v>
      </c>
      <c r="E36">
        <v>669.53</v>
      </c>
      <c r="F36" s="35">
        <v>614.505</v>
      </c>
      <c r="G36">
        <f>(C36-C35)/(F36-F35)</f>
        <v>0</v>
      </c>
      <c r="J36" s="35"/>
      <c r="K36" s="35"/>
      <c r="L36" s="35"/>
    </row>
    <row r="37" spans="1:15">
      <c r="A37" t="s">
        <v>990</v>
      </c>
      <c r="C37">
        <v>20.2011</v>
      </c>
      <c r="D37" s="598">
        <f>(I$37-E36)*M$5+D36</f>
        <v>23.679747006169627</v>
      </c>
      <c r="E37">
        <v>801.48</v>
      </c>
      <c r="F37">
        <v>615.48599999999999</v>
      </c>
      <c r="G37" s="35"/>
      <c r="H37" s="35"/>
      <c r="I37">
        <v>808</v>
      </c>
      <c r="J37" s="35"/>
      <c r="K37" s="35"/>
      <c r="L37" s="35"/>
    </row>
    <row r="38" spans="1:15">
      <c r="A38" t="s">
        <v>990</v>
      </c>
      <c r="C38">
        <v>20.2011</v>
      </c>
      <c r="D38" s="598">
        <f>(I$37-E37)*M$5+D37</f>
        <v>23.684081132552425</v>
      </c>
      <c r="E38">
        <v>808.476</v>
      </c>
      <c r="F38">
        <v>613.61599999999999</v>
      </c>
      <c r="G38" s="35"/>
      <c r="H38" s="35"/>
      <c r="I38" s="35"/>
      <c r="J38" s="35"/>
      <c r="K38" s="35"/>
      <c r="L38" s="35"/>
    </row>
    <row r="39" spans="1:15">
      <c r="C39">
        <v>20.301100000000002</v>
      </c>
      <c r="D39" s="596">
        <f>(I$37-E38)*M$5+D38</f>
        <v>23.68376471473675</v>
      </c>
      <c r="E39">
        <v>804.51599999999996</v>
      </c>
      <c r="F39">
        <v>483.51600000000002</v>
      </c>
      <c r="I39" s="35"/>
      <c r="J39" s="35">
        <v>602</v>
      </c>
      <c r="K39" s="35"/>
      <c r="L39" s="35"/>
    </row>
    <row r="40" spans="1:15">
      <c r="A40" t="s">
        <v>991</v>
      </c>
      <c r="C40" s="599">
        <f>(J$39-F39)*L$5+C39</f>
        <v>20.081620524872662</v>
      </c>
      <c r="D40" s="597">
        <f>(I$37-E39)*M$5+D39</f>
        <v>23.686080680429644</v>
      </c>
      <c r="E40">
        <v>807.49199999999996</v>
      </c>
      <c r="F40">
        <v>603.51700000000005</v>
      </c>
      <c r="G40" s="35"/>
      <c r="H40" s="35"/>
      <c r="I40" s="35"/>
      <c r="J40" s="35"/>
      <c r="K40" s="35"/>
      <c r="L40" s="35"/>
    </row>
    <row r="41" spans="1:15">
      <c r="C41" s="596">
        <f>(J$39-F40)*L$5+C40</f>
        <v>20.084430612004834</v>
      </c>
      <c r="G41" s="35"/>
      <c r="H41" s="35"/>
      <c r="I41" s="35"/>
      <c r="J41" s="35"/>
      <c r="K41" s="35"/>
      <c r="L41" s="35"/>
    </row>
    <row r="42" spans="1:15">
      <c r="A42" t="s">
        <v>992</v>
      </c>
      <c r="C42" s="91">
        <v>20.210999999999999</v>
      </c>
      <c r="E42">
        <v>807.48599999999999</v>
      </c>
      <c r="F42">
        <v>602.53800000000001</v>
      </c>
      <c r="J42" s="35"/>
      <c r="K42" s="35"/>
      <c r="L42" s="35"/>
    </row>
    <row r="43" spans="1:15">
      <c r="J43" s="35"/>
      <c r="K43" s="35"/>
      <c r="L43" s="35"/>
    </row>
    <row r="44" spans="1:15">
      <c r="J44" s="35"/>
      <c r="K44" s="35"/>
    </row>
    <row r="45" spans="1:15">
      <c r="L45" s="35"/>
    </row>
    <row r="48" spans="1:15">
      <c r="N48" s="35"/>
    </row>
    <row r="49" spans="14:14">
      <c r="N49" s="35"/>
    </row>
    <row r="50" spans="14:14">
      <c r="N50" s="35"/>
    </row>
    <row r="51" spans="14:14">
      <c r="N51" s="35"/>
    </row>
    <row r="52" spans="14:14">
      <c r="N52" s="35"/>
    </row>
    <row r="53" spans="14:14">
      <c r="N53" s="35"/>
    </row>
    <row r="54" spans="14:14">
      <c r="N54" s="35"/>
    </row>
  </sheetData>
  <mergeCells count="5">
    <mergeCell ref="N3:P3"/>
    <mergeCell ref="B2:C2"/>
    <mergeCell ref="D2:E2"/>
    <mergeCell ref="L1:M1"/>
    <mergeCell ref="B3:E3"/>
  </mergeCells>
  <conditionalFormatting sqref="D17:E17">
    <cfRule type="expression" dxfId="4" priority="3">
      <formula>OR(ISNUMBER(FIND("LED",$F17)))</formula>
    </cfRule>
  </conditionalFormatting>
  <conditionalFormatting sqref="D10:G10">
    <cfRule type="expression" dxfId="3" priority="5">
      <formula>OR(ISNUMBER(FIND("mirror",$F10)))</formula>
    </cfRule>
  </conditionalFormatting>
  <conditionalFormatting sqref="E35:F35">
    <cfRule type="expression" dxfId="2" priority="1">
      <formula>OR(ISNUMBER(FIND("LED",$C35)))</formula>
    </cfRule>
  </conditionalFormatting>
  <conditionalFormatting sqref="H10:I10">
    <cfRule type="expression" dxfId="1" priority="4">
      <formula>ABS(H10)&lt;0.005</formula>
    </cfRule>
  </conditionalFormatting>
  <conditionalFormatting sqref="H17:I17">
    <cfRule type="expression" dxfId="0" priority="2">
      <formula>ABS(H17)&lt;1</formula>
    </cfRule>
  </conditionalFormatting>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55C8BFFB715694EA624865142195CE5" ma:contentTypeVersion="12" ma:contentTypeDescription="Create a new document." ma:contentTypeScope="" ma:versionID="407c95df1fbdf2f4ce03093847920e1f">
  <xsd:schema xmlns:xsd="http://www.w3.org/2001/XMLSchema" xmlns:xs="http://www.w3.org/2001/XMLSchema" xmlns:p="http://schemas.microsoft.com/office/2006/metadata/properties" xmlns:ns2="01eee777-8602-42d0-a9c8-03c6289e8509" xmlns:ns3="d1b7d55b-5279-4414-bf60-dbde09f11675" xmlns:ns4="d900e117-17a0-4b24-9e47-511ef1d02c43" targetNamespace="http://schemas.microsoft.com/office/2006/metadata/properties" ma:root="true" ma:fieldsID="12bff7c2ede26fb51b9021c609cdaecb" ns2:_="" ns3:_="" ns4:_="">
    <xsd:import namespace="01eee777-8602-42d0-a9c8-03c6289e8509"/>
    <xsd:import namespace="d1b7d55b-5279-4414-bf60-dbde09f11675"/>
    <xsd:import namespace="d900e117-17a0-4b24-9e47-511ef1d02c43"/>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GenerationTime" minOccurs="0"/>
                <xsd:element ref="ns2:MediaServiceEventHashCode" minOccurs="0"/>
                <xsd:element ref="ns3:SharedWithUsers" minOccurs="0"/>
                <xsd:element ref="ns3:SharedWithDetails" minOccurs="0"/>
                <xsd:element ref="ns2:MediaServiceOCR" minOccurs="0"/>
                <xsd:element ref="ns2:lcf76f155ced4ddcb4097134ff3c332f" minOccurs="0"/>
                <xsd:element ref="ns4: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1eee777-8602-42d0-a9c8-03c6289e850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0fb68aea-d2ee-4a6c-85e6-e4b5686e96e8"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d1b7d55b-5279-4414-bf60-dbde09f11675"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d900e117-17a0-4b24-9e47-511ef1d02c43"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ada25295-6bfd-4cad-95bf-b6529d71ac1c}" ma:internalName="TaxCatchAll" ma:showField="CatchAllData" ma:web="d1b7d55b-5279-4414-bf60-dbde09f11675">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TaxCatchAll xmlns="d900e117-17a0-4b24-9e47-511ef1d02c43" xsi:nil="true"/>
    <lcf76f155ced4ddcb4097134ff3c332f xmlns="01eee777-8602-42d0-a9c8-03c6289e8509">
      <Terms xmlns="http://schemas.microsoft.com/office/infopath/2007/PartnerControls"/>
    </lcf76f155ced4ddcb4097134ff3c332f>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5279BC1-F157-4481-B24A-0620C411B686}"/>
</file>

<file path=customXml/itemProps2.xml><?xml version="1.0" encoding="utf-8"?>
<ds:datastoreItem xmlns:ds="http://schemas.openxmlformats.org/officeDocument/2006/customXml" ds:itemID="{9A5214AC-5AC6-43F9-930E-F760F9799DB1}"/>
</file>

<file path=customXml/itemProps3.xml><?xml version="1.0" encoding="utf-8"?>
<ds:datastoreItem xmlns:ds="http://schemas.openxmlformats.org/officeDocument/2006/customXml" ds:itemID="{74AED00A-B00A-45D3-B8D0-5A41858296E7}"/>
</file>

<file path=docMetadata/LabelInfo.xml><?xml version="1.0" encoding="utf-8"?>
<clbl:labelList xmlns:clbl="http://schemas.microsoft.com/office/2020/mipLabelMetadata">
  <clbl:label id="{7005d458-45be-48ae-8140-d43da96dd17b}" enabled="0" method="" siteId="{7005d458-45be-48ae-8140-d43da96dd17b}" removed="1"/>
</clbl:labelLis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xwan</dc:creator>
  <cp:keywords/>
  <dc:description/>
  <cp:lastModifiedBy/>
  <cp:revision/>
  <dcterms:created xsi:type="dcterms:W3CDTF">2022-09-19T18:57:51Z</dcterms:created>
  <dcterms:modified xsi:type="dcterms:W3CDTF">2023-06-17T01:29:15Z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0x010100E55C8BFFB715694EA624865142195CE5</vt:lpwstr>
  </property>
  <property fmtid="{D5CDD505-2E9C-101B-9397-08002B2CF9AE}" pid="3" name="MediaServiceImageTags">
    <vt:lpwstr/>
  </property>
</Properties>
</file>